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4395" windowHeight="5640" activeTab="0"/>
  </bookViews>
  <sheets>
    <sheet name="Talents" sheetId="1" r:id="rId1"/>
    <sheet name="attributs" sheetId="2" r:id="rId2"/>
    <sheet name="Calculs attributs" sheetId="3" state="hidden" r:id="rId3"/>
    <sheet name="comp" sheetId="4" r:id="rId4"/>
    <sheet name="feuille perso" sheetId="5" r:id="rId5"/>
  </sheets>
  <definedNames>
    <definedName name="age">'feuille perso'!$F$9</definedName>
    <definedName name="ageprof">'Talents'!$J$32</definedName>
    <definedName name="agesaba">'Talents'!$J$7</definedName>
    <definedName name="agi">'attributs'!$B$4</definedName>
    <definedName name="agil">'Talents'!$G$15</definedName>
    <definedName name="bonage">'Calculs attributs'!$J$1:$K$6</definedName>
    <definedName name="boncomp1">'feuille perso'!$W$53</definedName>
    <definedName name="boncomp2">'feuille perso'!$W$56</definedName>
    <definedName name="boncomp3">'feuille perso'!$W$59</definedName>
    <definedName name="boncomp4">'feuille perso'!$W$62</definedName>
    <definedName name="bondmg">'Calculs attributs'!$G$1:$H$40</definedName>
    <definedName name="bonluck">'Talents'!$J$12</definedName>
    <definedName name="cha">'attributs'!$B$8</definedName>
    <definedName name="charme">'Talents'!$G$13</definedName>
    <definedName name="compsaba">'Talents'!$K$7</definedName>
    <definedName name="dang">'comp'!$D$64</definedName>
    <definedName name="ecout">'comp'!$D$47</definedName>
    <definedName name="esprit">'Talents'!$G$17</definedName>
    <definedName name="for">'attributs'!$B$3</definedName>
    <definedName name="gab">'attributs'!$B$6</definedName>
    <definedName name="gus">'Talents'!$G$19</definedName>
    <definedName name="incre">'Talents'!$G$22</definedName>
    <definedName name="ins">'attributs'!$B$12</definedName>
    <definedName name="int">'attributs'!$B$10</definedName>
    <definedName name="luk">'attributs'!$E$8</definedName>
    <definedName name="nivcomp">'comp'!$D:$D</definedName>
    <definedName name="obs">'comp'!$D$61</definedName>
    <definedName name="obsti">'Talents'!$G$25</definedName>
    <definedName name="odora">'Talents'!$G$26</definedName>
    <definedName name="ouie">'Talents'!$G$27</definedName>
    <definedName name="rap">'attributs'!$B$7</definedName>
    <definedName name="rapid">'Talents'!$G$33</definedName>
    <definedName name="rath">'Talents'!$G$41</definedName>
    <definedName name="res">'attributs'!$B$5</definedName>
    <definedName name="rhn">'Talents'!$G$20</definedName>
    <definedName name="rhp">'Talents'!$G$21</definedName>
    <definedName name="rth">'Talents'!$J$42</definedName>
    <definedName name="scri">'feuille perso'!$N$99</definedName>
    <definedName name="sent">'comp'!$D$67</definedName>
    <definedName name="seuil">'Talents'!$G$38</definedName>
    <definedName name="sfat">'feuille perso'!$N$104</definedName>
    <definedName name="sga">'feuille perso'!$N$94</definedName>
    <definedName name="sgf">'attributs'!$B$11</definedName>
    <definedName name="sinc">'feuille perso'!$R$82</definedName>
    <definedName name="six">'Talents'!$G$39</definedName>
    <definedName name="sleg">'feuille perso'!$N$89</definedName>
    <definedName name="smor">'feuille perso'!$R$109</definedName>
    <definedName name="tabcomp">'comp'!$A:$D</definedName>
    <definedName name="tabcomp1">'comp'!$A$1:$D$98</definedName>
    <definedName name="tacti">'Talents'!$G$29</definedName>
    <definedName name="talagi">'Calculs attributs'!$E$2</definedName>
    <definedName name="talbon">'Talents'!$G$8</definedName>
    <definedName name="talcha">'Calculs attributs'!$E$6</definedName>
    <definedName name="talfor">'Calculs attributs'!$E$11</definedName>
    <definedName name="talgab">'Calculs attributs'!$E$4</definedName>
    <definedName name="talins">'Calculs attributs'!$E$10</definedName>
    <definedName name="talint">'Calculs attributs'!$E$8</definedName>
    <definedName name="talluc">'Calculs attributs'!$E$12</definedName>
    <definedName name="talrap">'Calculs attributs'!$E$5</definedName>
    <definedName name="talres">'Calculs attributs'!$E$3</definedName>
    <definedName name="talsgf">'Calculs attributs'!$E$9</definedName>
    <definedName name="talvol">'Calculs attributs'!$E$7</definedName>
    <definedName name="visio">'Talents'!$G$43</definedName>
    <definedName name="vol">'attributs'!$B$9</definedName>
    <definedName name="vue">'Talents'!$G$44</definedName>
  </definedNames>
  <calcPr fullCalcOnLoad="1"/>
</workbook>
</file>

<file path=xl/sharedStrings.xml><?xml version="1.0" encoding="utf-8"?>
<sst xmlns="http://schemas.openxmlformats.org/spreadsheetml/2006/main" count="509" uniqueCount="232">
  <si>
    <t>attributs</t>
  </si>
  <si>
    <t>base</t>
  </si>
  <si>
    <t>race</t>
  </si>
  <si>
    <t>chance</t>
  </si>
  <si>
    <t>talent</t>
  </si>
  <si>
    <t>age</t>
  </si>
  <si>
    <t>agilité</t>
  </si>
  <si>
    <t>résistance</t>
  </si>
  <si>
    <t>gabarit</t>
  </si>
  <si>
    <t>rapidité</t>
  </si>
  <si>
    <t>charisme</t>
  </si>
  <si>
    <t>volonté</t>
  </si>
  <si>
    <t>intelect</t>
  </si>
  <si>
    <t>sang-froid</t>
  </si>
  <si>
    <t>instinct</t>
  </si>
  <si>
    <t>Chance</t>
  </si>
  <si>
    <t>Création de personnage</t>
  </si>
  <si>
    <t>Points disponibles</t>
  </si>
  <si>
    <t>Points dépensés</t>
  </si>
  <si>
    <t xml:space="preserve">Voulez-vous générer automatiquement vos chances d'être ...
</t>
  </si>
  <si>
    <t>Stérilité</t>
  </si>
  <si>
    <t>Mutant</t>
  </si>
  <si>
    <t>Droitier</t>
  </si>
  <si>
    <t>action héroĩque</t>
  </si>
  <si>
    <t>Attributs</t>
  </si>
  <si>
    <t>Force</t>
  </si>
  <si>
    <t>force</t>
  </si>
  <si>
    <t>FEUILLE DE PERSONNAGE</t>
  </si>
  <si>
    <t>Informations générales</t>
  </si>
  <si>
    <t>Agilité</t>
  </si>
  <si>
    <t>Résistance</t>
  </si>
  <si>
    <t>Gabarit</t>
  </si>
  <si>
    <t>Rapidité</t>
  </si>
  <si>
    <t>Charisme</t>
  </si>
  <si>
    <t>Sang-Froid</t>
  </si>
  <si>
    <t>Intelligence</t>
  </si>
  <si>
    <t>Volonté</t>
  </si>
  <si>
    <t>Instinct</t>
  </si>
  <si>
    <t>Caractéristiques secondaires</t>
  </si>
  <si>
    <t>Apprentissage</t>
  </si>
  <si>
    <t>Bonus au dégâts</t>
  </si>
  <si>
    <t>Course</t>
  </si>
  <si>
    <t>Escalade</t>
  </si>
  <si>
    <t>Fatigue</t>
  </si>
  <si>
    <t>Jet</t>
  </si>
  <si>
    <t>Lutte</t>
  </si>
  <si>
    <t>Nage</t>
  </si>
  <si>
    <t>Perception instinctive</t>
  </si>
  <si>
    <t>Poids soulevable</t>
  </si>
  <si>
    <t>Réaction</t>
  </si>
  <si>
    <t>Saut</t>
  </si>
  <si>
    <t>%</t>
  </si>
  <si>
    <t>Allié supplémentaire</t>
  </si>
  <si>
    <t>Ambidextre</t>
  </si>
  <si>
    <t>Années sabattiques</t>
  </si>
  <si>
    <t>Attribut avantageux</t>
  </si>
  <si>
    <t>+1 an, 1-3 points</t>
  </si>
  <si>
    <t>Brillante carrière</t>
  </si>
  <si>
    <t>célébrité +8, ,+2 influence</t>
  </si>
  <si>
    <t>Argent supplémentaire</t>
  </si>
  <si>
    <t>carte au trésor</t>
  </si>
  <si>
    <t>Charmeur</t>
  </si>
  <si>
    <t>talents relationnels +5</t>
  </si>
  <si>
    <t>Concession</t>
  </si>
  <si>
    <t>Doigts agiles</t>
  </si>
  <si>
    <t>talents avec les mains +5</t>
  </si>
  <si>
    <t>Élève doué</t>
  </si>
  <si>
    <t>apprentissage +1</t>
  </si>
  <si>
    <t>Esprit vif</t>
  </si>
  <si>
    <t>talents intelectuels +5</t>
  </si>
  <si>
    <t>Fausse identité</t>
  </si>
  <si>
    <t>Goût parfait</t>
  </si>
  <si>
    <t>sens gustatif +10</t>
  </si>
  <si>
    <t>Hybride naturel</t>
  </si>
  <si>
    <t>Hybride parfait</t>
  </si>
  <si>
    <t>Increvable</t>
  </si>
  <si>
    <t>fatigue +1</t>
  </si>
  <si>
    <t>Mutations supplémentaires</t>
  </si>
  <si>
    <t>Nyctalope</t>
  </si>
  <si>
    <t>Obstination</t>
  </si>
  <si>
    <t>talents volonté +5</t>
  </si>
  <si>
    <t>Odorat parfait</t>
  </si>
  <si>
    <t>sentir +10</t>
  </si>
  <si>
    <t>ouie parfaite</t>
  </si>
  <si>
    <t>écouter et lecture sonar +10</t>
  </si>
  <si>
    <t>Parts</t>
  </si>
  <si>
    <t>Perfection tactile</t>
  </si>
  <si>
    <t>sens tactile +10</t>
  </si>
  <si>
    <t>Polaris</t>
  </si>
  <si>
    <t>Polaris latent</t>
  </si>
  <si>
    <t>Profession</t>
  </si>
  <si>
    <t>Rapidité naturelle</t>
  </si>
  <si>
    <t>réaction +1</t>
  </si>
  <si>
    <t>relation supplémentaire</t>
  </si>
  <si>
    <t>rente</t>
  </si>
  <si>
    <t>resistance naturelle</t>
  </si>
  <si>
    <t>une résistance +1</t>
  </si>
  <si>
    <t>retrait d'une mutation</t>
  </si>
  <si>
    <t>Seuils augmentés</t>
  </si>
  <si>
    <t>seuils +2</t>
  </si>
  <si>
    <t>sixième sens</t>
  </si>
  <si>
    <t>talents instinct et perception instinctive +5</t>
  </si>
  <si>
    <t>Talent avantageux</t>
  </si>
  <si>
    <t>un talent +1, 2x max</t>
  </si>
  <si>
    <t>techno-hybride</t>
  </si>
  <si>
    <t>titre</t>
  </si>
  <si>
    <t>influence+3, célébrité +12</t>
  </si>
  <si>
    <t>vision périphérique</t>
  </si>
  <si>
    <t>perception instinctive +5</t>
  </si>
  <si>
    <t>vue parfaite</t>
  </si>
  <si>
    <t>observation +10</t>
  </si>
  <si>
    <t>Seuils de blessure</t>
  </si>
  <si>
    <t>Inconscience (-5%)</t>
  </si>
  <si>
    <t>Légère</t>
  </si>
  <si>
    <t>fat N/A</t>
  </si>
  <si>
    <t>fat -1</t>
  </si>
  <si>
    <t>Grave</t>
  </si>
  <si>
    <t>Critique</t>
  </si>
  <si>
    <t>Fatale</t>
  </si>
  <si>
    <t>Mort</t>
  </si>
  <si>
    <t>fat -2</t>
  </si>
  <si>
    <t>fat -6</t>
  </si>
  <si>
    <t>Nom</t>
  </si>
  <si>
    <t>Âge</t>
  </si>
  <si>
    <t>Restant</t>
  </si>
  <si>
    <t>Talents choisis</t>
  </si>
  <si>
    <t>chance 10+1d10</t>
  </si>
  <si>
    <t>Armes</t>
  </si>
  <si>
    <t>Physique</t>
  </si>
  <si>
    <t>Chocs</t>
  </si>
  <si>
    <t>Cadence</t>
  </si>
  <si>
    <t>Munitions</t>
  </si>
  <si>
    <t>Portées</t>
  </si>
  <si>
    <t>dégâts</t>
  </si>
  <si>
    <t>Alliés connus</t>
  </si>
  <si>
    <t>Principales compétences</t>
  </si>
  <si>
    <t>Talents et autres signes distinctifs</t>
  </si>
  <si>
    <t>Niv</t>
  </si>
  <si>
    <t>/</t>
  </si>
  <si>
    <t>Bon</t>
  </si>
  <si>
    <t>Total</t>
  </si>
  <si>
    <t>Talent</t>
  </si>
  <si>
    <t xml:space="preserve">        Adresse</t>
  </si>
  <si>
    <t>Agilité manuelle</t>
  </si>
  <si>
    <t>Cartographie</t>
  </si>
  <si>
    <t>Chirurgie</t>
  </si>
  <si>
    <t>Création de faux</t>
  </si>
  <si>
    <t>Cuisine</t>
  </si>
  <si>
    <t>Déguisement</t>
  </si>
  <si>
    <t>Démolition</t>
  </si>
  <si>
    <t>Évasion</t>
  </si>
  <si>
    <t>Hybride</t>
  </si>
  <si>
    <t>Jeu</t>
  </si>
  <si>
    <t>Langage des signes</t>
  </si>
  <si>
    <t>Monture</t>
  </si>
  <si>
    <t>Dégainer</t>
  </si>
  <si>
    <t>Pièges</t>
  </si>
  <si>
    <t>Pilotage</t>
  </si>
  <si>
    <t>Premiers Soins</t>
  </si>
  <si>
    <t>Onguents et drogues</t>
  </si>
  <si>
    <t>Sciences pratiques</t>
  </si>
  <si>
    <t>Usurpation</t>
  </si>
  <si>
    <t>ATE</t>
  </si>
  <si>
    <t>ATM</t>
  </si>
  <si>
    <t>Bouclier</t>
  </si>
  <si>
    <t>Combat monté</t>
  </si>
  <si>
    <t>Corps à corps</t>
  </si>
  <si>
    <t>Esquive</t>
  </si>
  <si>
    <t>Lancer</t>
  </si>
  <si>
    <t>Pugilat</t>
  </si>
  <si>
    <t>Armes (Choisir)</t>
  </si>
  <si>
    <t xml:space="preserve">         Martial</t>
  </si>
  <si>
    <t>Acquisition de matériel</t>
  </si>
  <si>
    <t>Armes satellites</t>
  </si>
  <si>
    <t>Chasser/pister</t>
  </si>
  <si>
    <t>Cryptographie</t>
  </si>
  <si>
    <t>Discipline mentale</t>
  </si>
  <si>
    <t>Écouter</t>
  </si>
  <si>
    <t>Esquive mentale</t>
  </si>
  <si>
    <t>Gestion</t>
  </si>
  <si>
    <t>Imitation</t>
  </si>
  <si>
    <t>Lecture radar</t>
  </si>
  <si>
    <t>Lecture sonar</t>
  </si>
  <si>
    <t>Lecture sur les lèvres</t>
  </si>
  <si>
    <t>Navigation</t>
  </si>
  <si>
    <t>Obsvervation</t>
  </si>
  <si>
    <t xml:space="preserve">        Instinctif</t>
  </si>
  <si>
    <t xml:space="preserve">          Instinctif</t>
  </si>
  <si>
    <t>Perception des indices</t>
  </si>
  <si>
    <t>Prospection</t>
  </si>
  <si>
    <t>Sens du danger</t>
  </si>
  <si>
    <t>Sens gustatif</t>
  </si>
  <si>
    <t>Sens tactile</t>
  </si>
  <si>
    <t>Sentir</t>
  </si>
  <si>
    <t>Stratégie</t>
  </si>
  <si>
    <t>Systèmes de sécurité</t>
  </si>
  <si>
    <t>Tactique</t>
  </si>
  <si>
    <t xml:space="preserve">         Endurance</t>
  </si>
  <si>
    <t>Apnée</t>
  </si>
  <si>
    <t>Domptage</t>
  </si>
  <si>
    <t>Endurance</t>
  </si>
  <si>
    <t>Entraînement</t>
  </si>
  <si>
    <t>Haltérophilie</t>
  </si>
  <si>
    <t>Méditation</t>
  </si>
  <si>
    <t>Nager</t>
  </si>
  <si>
    <t>Respiration de fluide</t>
  </si>
  <si>
    <t>Survie</t>
  </si>
  <si>
    <t>Transe</t>
  </si>
  <si>
    <t>Armure</t>
  </si>
  <si>
    <t>Acrobaties</t>
  </si>
  <si>
    <t xml:space="preserve">      Acrobaties</t>
  </si>
  <si>
    <t>Contorsion</t>
  </si>
  <si>
    <t>Discrétion</t>
  </si>
  <si>
    <t>Sauter</t>
  </si>
  <si>
    <t>Estimation de valeur</t>
  </si>
  <si>
    <t>Baratin</t>
  </si>
  <si>
    <t>Bureaucratie</t>
  </si>
  <si>
    <t>Charme</t>
  </si>
  <si>
    <t>Comédie</t>
  </si>
  <si>
    <t>Commandement</t>
  </si>
  <si>
    <t>Diplomatie</t>
  </si>
  <si>
    <t xml:space="preserve">           Relationnels</t>
  </si>
  <si>
    <t>Interrogation</t>
  </si>
  <si>
    <t>Négociation</t>
  </si>
  <si>
    <t>Autres______________________</t>
  </si>
  <si>
    <t>Connaissances(choisir)</t>
  </si>
  <si>
    <t>Mémoire</t>
  </si>
  <si>
    <t>Sciences (théoriques)</t>
  </si>
  <si>
    <t>Langages</t>
  </si>
  <si>
    <t xml:space="preserve">          Intelectuels</t>
  </si>
  <si>
    <t>POLARIS</t>
  </si>
  <si>
    <t>Points restants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</si>
</sst>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</numFmts>
  <fonts count="2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8"/>
      <name val="Arial"/>
      <family val="0"/>
    </font>
    <font>
      <sz val="8"/>
      <name val="Arial"/>
      <family val="0"/>
    </font>
    <font>
      <b/>
      <sz val="10"/>
      <color indexed="9"/>
      <name val="MS Serif"/>
      <family val="1"/>
    </font>
    <font>
      <u val="single"/>
      <sz val="10"/>
      <name val="Arial"/>
      <family val="0"/>
    </font>
    <font>
      <b/>
      <sz val="10"/>
      <name val="Arial"/>
      <family val="2"/>
    </font>
    <font>
      <sz val="12"/>
      <name val="Res"/>
      <family val="0"/>
    </font>
    <font>
      <b/>
      <sz val="8"/>
      <name val="Arial"/>
      <family val="2"/>
    </font>
    <font>
      <sz val="7"/>
      <name val="Arial"/>
      <family val="0"/>
    </font>
    <font>
      <sz val="6.5"/>
      <color indexed="8"/>
      <name val="Times New Roman"/>
      <family val="1"/>
    </font>
    <font>
      <sz val="8"/>
      <name val="Tahoma"/>
      <family val="2"/>
    </font>
    <font>
      <sz val="10"/>
      <name val="Alba"/>
      <family val="0"/>
    </font>
    <font>
      <sz val="8"/>
      <name val="Alba"/>
      <family val="0"/>
    </font>
    <font>
      <sz val="12"/>
      <name val="Impact"/>
      <family val="2"/>
    </font>
    <font>
      <sz val="10"/>
      <name val="Impact"/>
      <family val="2"/>
    </font>
    <font>
      <sz val="9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6.5"/>
      <name val="Times New Roman"/>
      <family val="1"/>
    </font>
    <font>
      <sz val="10"/>
      <name val="Franklin Gothic Medium"/>
      <family val="2"/>
    </font>
    <font>
      <b/>
      <sz val="6.5"/>
      <color indexed="8"/>
      <name val="Franklin Gothic Medium"/>
      <family val="2"/>
    </font>
    <font>
      <b/>
      <sz val="12"/>
      <color indexed="8"/>
      <name val="Franklin Gothic Medium"/>
      <family val="2"/>
    </font>
    <font>
      <b/>
      <sz val="10"/>
      <name val="Franklin Gothic Medium"/>
      <family val="2"/>
    </font>
    <font>
      <i/>
      <u val="single"/>
      <sz val="14"/>
      <color indexed="8"/>
      <name val="Times New Roman"/>
      <family val="1"/>
    </font>
    <font>
      <b/>
      <sz val="12"/>
      <color indexed="9"/>
      <name val="Tahoma Small Cap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23" fillId="0" borderId="0" xfId="0" applyFont="1" applyAlignment="1">
      <alignment/>
    </xf>
    <xf numFmtId="0" fontId="23" fillId="3" borderId="1" xfId="0" applyFont="1" applyFill="1" applyBorder="1" applyAlignment="1">
      <alignment/>
    </xf>
    <xf numFmtId="0" fontId="24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8" fillId="2" borderId="0" xfId="0" applyFont="1" applyFill="1" applyAlignment="1">
      <alignment/>
    </xf>
    <xf numFmtId="0" fontId="19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19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18" fillId="0" borderId="0" xfId="0" applyFont="1" applyFill="1" applyAlignment="1">
      <alignment/>
    </xf>
    <xf numFmtId="0" fontId="1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7" fillId="0" borderId="9" xfId="19" applyFont="1" applyBorder="1" applyAlignment="1">
      <alignment horizontal="center" vertical="center"/>
    </xf>
    <xf numFmtId="9" fontId="7" fillId="0" borderId="3" xfId="19" applyFont="1" applyBorder="1" applyAlignment="1">
      <alignment horizontal="center" vertical="center"/>
    </xf>
    <xf numFmtId="9" fontId="7" fillId="0" borderId="5" xfId="19" applyFont="1" applyBorder="1" applyAlignment="1">
      <alignment horizontal="center" vertical="center"/>
    </xf>
    <xf numFmtId="9" fontId="7" fillId="0" borderId="7" xfId="19" applyFont="1" applyBorder="1" applyAlignment="1">
      <alignment horizontal="center" vertical="center"/>
    </xf>
    <xf numFmtId="9" fontId="7" fillId="0" borderId="0" xfId="19" applyFont="1" applyBorder="1" applyAlignment="1">
      <alignment horizontal="center" vertical="center"/>
    </xf>
    <xf numFmtId="9" fontId="7" fillId="0" borderId="2" xfId="19" applyFont="1" applyBorder="1" applyAlignment="1">
      <alignment horizontal="center" vertical="center"/>
    </xf>
    <xf numFmtId="9" fontId="7" fillId="0" borderId="8" xfId="19" applyFont="1" applyBorder="1" applyAlignment="1">
      <alignment horizontal="center" vertical="center"/>
    </xf>
    <xf numFmtId="9" fontId="7" fillId="0" borderId="1" xfId="19" applyFont="1" applyBorder="1" applyAlignment="1">
      <alignment horizontal="center" vertical="center"/>
    </xf>
    <xf numFmtId="9" fontId="7" fillId="0" borderId="6" xfId="19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12</xdr:col>
      <xdr:colOff>0</xdr:colOff>
      <xdr:row>52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9525" y="409575"/>
          <a:ext cx="5238750" cy="852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0</xdr:rowOff>
    </xdr:from>
    <xdr:to>
      <xdr:col>12</xdr:col>
      <xdr:colOff>0</xdr:colOff>
      <xdr:row>105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9525" y="9591675"/>
          <a:ext cx="5238750" cy="842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69</xdr:col>
      <xdr:colOff>76200</xdr:colOff>
      <xdr:row>10</xdr:row>
      <xdr:rowOff>66675</xdr:rowOff>
    </xdr:to>
    <xdr:sp>
      <xdr:nvSpPr>
        <xdr:cNvPr id="1" name="Rectangle 15"/>
        <xdr:cNvSpPr>
          <a:spLocks/>
        </xdr:cNvSpPr>
      </xdr:nvSpPr>
      <xdr:spPr>
        <a:xfrm>
          <a:off x="0" y="295275"/>
          <a:ext cx="5991225" cy="5429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70</xdr:col>
      <xdr:colOff>0</xdr:colOff>
      <xdr:row>17</xdr:row>
      <xdr:rowOff>57150</xdr:rowOff>
    </xdr:to>
    <xdr:sp>
      <xdr:nvSpPr>
        <xdr:cNvPr id="2" name="Rectangle 16"/>
        <xdr:cNvSpPr>
          <a:spLocks/>
        </xdr:cNvSpPr>
      </xdr:nvSpPr>
      <xdr:spPr>
        <a:xfrm>
          <a:off x="0" y="952500"/>
          <a:ext cx="6000750" cy="5048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70</xdr:col>
      <xdr:colOff>0</xdr:colOff>
      <xdr:row>29</xdr:row>
      <xdr:rowOff>47625</xdr:rowOff>
    </xdr:to>
    <xdr:sp>
      <xdr:nvSpPr>
        <xdr:cNvPr id="3" name="Rectangle 17"/>
        <xdr:cNvSpPr>
          <a:spLocks/>
        </xdr:cNvSpPr>
      </xdr:nvSpPr>
      <xdr:spPr>
        <a:xfrm>
          <a:off x="0" y="1552575"/>
          <a:ext cx="6000750" cy="8096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9525</xdr:colOff>
      <xdr:row>77</xdr:row>
      <xdr:rowOff>38100</xdr:rowOff>
    </xdr:from>
    <xdr:to>
      <xdr:col>69</xdr:col>
      <xdr:colOff>28575</xdr:colOff>
      <xdr:row>109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010275"/>
          <a:ext cx="421957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70</xdr:col>
      <xdr:colOff>0</xdr:colOff>
      <xdr:row>110</xdr:row>
      <xdr:rowOff>47625</xdr:rowOff>
    </xdr:to>
    <xdr:sp>
      <xdr:nvSpPr>
        <xdr:cNvPr id="5" name="Rectangle 19"/>
        <xdr:cNvSpPr>
          <a:spLocks/>
        </xdr:cNvSpPr>
      </xdr:nvSpPr>
      <xdr:spPr>
        <a:xfrm>
          <a:off x="0" y="5972175"/>
          <a:ext cx="6000750" cy="25622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38100</xdr:colOff>
      <xdr:row>83</xdr:row>
      <xdr:rowOff>66675</xdr:rowOff>
    </xdr:from>
    <xdr:ext cx="114300" cy="114300"/>
    <xdr:sp>
      <xdr:nvSpPr>
        <xdr:cNvPr id="6" name="Rectangle 20"/>
        <xdr:cNvSpPr>
          <a:spLocks/>
        </xdr:cNvSpPr>
      </xdr:nvSpPr>
      <xdr:spPr>
        <a:xfrm>
          <a:off x="38100" y="64960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83</xdr:row>
      <xdr:rowOff>66675</xdr:rowOff>
    </xdr:from>
    <xdr:ext cx="114300" cy="114300"/>
    <xdr:sp>
      <xdr:nvSpPr>
        <xdr:cNvPr id="7" name="Rectangle 21"/>
        <xdr:cNvSpPr>
          <a:spLocks/>
        </xdr:cNvSpPr>
      </xdr:nvSpPr>
      <xdr:spPr>
        <a:xfrm>
          <a:off x="180975" y="64960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83</xdr:row>
      <xdr:rowOff>66675</xdr:rowOff>
    </xdr:from>
    <xdr:ext cx="114300" cy="114300"/>
    <xdr:sp>
      <xdr:nvSpPr>
        <xdr:cNvPr id="8" name="Rectangle 22"/>
        <xdr:cNvSpPr>
          <a:spLocks/>
        </xdr:cNvSpPr>
      </xdr:nvSpPr>
      <xdr:spPr>
        <a:xfrm>
          <a:off x="333375" y="64960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83</xdr:row>
      <xdr:rowOff>66675</xdr:rowOff>
    </xdr:from>
    <xdr:ext cx="114300" cy="114300"/>
    <xdr:sp>
      <xdr:nvSpPr>
        <xdr:cNvPr id="9" name="Rectangle 23"/>
        <xdr:cNvSpPr>
          <a:spLocks/>
        </xdr:cNvSpPr>
      </xdr:nvSpPr>
      <xdr:spPr>
        <a:xfrm>
          <a:off x="476250" y="64960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28575</xdr:colOff>
      <xdr:row>83</xdr:row>
      <xdr:rowOff>66675</xdr:rowOff>
    </xdr:from>
    <xdr:ext cx="114300" cy="114300"/>
    <xdr:sp>
      <xdr:nvSpPr>
        <xdr:cNvPr id="10" name="Rectangle 24"/>
        <xdr:cNvSpPr>
          <a:spLocks/>
        </xdr:cNvSpPr>
      </xdr:nvSpPr>
      <xdr:spPr>
        <a:xfrm>
          <a:off x="628650" y="64960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66675</xdr:rowOff>
    </xdr:from>
    <xdr:ext cx="114300" cy="114300"/>
    <xdr:sp>
      <xdr:nvSpPr>
        <xdr:cNvPr id="11" name="Rectangle 25"/>
        <xdr:cNvSpPr>
          <a:spLocks/>
        </xdr:cNvSpPr>
      </xdr:nvSpPr>
      <xdr:spPr>
        <a:xfrm>
          <a:off x="771525" y="64960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83</xdr:row>
      <xdr:rowOff>66675</xdr:rowOff>
    </xdr:from>
    <xdr:ext cx="114300" cy="114300"/>
    <xdr:sp>
      <xdr:nvSpPr>
        <xdr:cNvPr id="12" name="Rectangle 26"/>
        <xdr:cNvSpPr>
          <a:spLocks/>
        </xdr:cNvSpPr>
      </xdr:nvSpPr>
      <xdr:spPr>
        <a:xfrm>
          <a:off x="923925" y="64960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38100</xdr:colOff>
      <xdr:row>83</xdr:row>
      <xdr:rowOff>66675</xdr:rowOff>
    </xdr:from>
    <xdr:ext cx="114300" cy="114300"/>
    <xdr:sp>
      <xdr:nvSpPr>
        <xdr:cNvPr id="13" name="Rectangle 27"/>
        <xdr:cNvSpPr>
          <a:spLocks/>
        </xdr:cNvSpPr>
      </xdr:nvSpPr>
      <xdr:spPr>
        <a:xfrm>
          <a:off x="1066800" y="64960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19050</xdr:colOff>
      <xdr:row>83</xdr:row>
      <xdr:rowOff>66675</xdr:rowOff>
    </xdr:from>
    <xdr:ext cx="114300" cy="114300"/>
    <xdr:sp>
      <xdr:nvSpPr>
        <xdr:cNvPr id="14" name="Rectangle 28"/>
        <xdr:cNvSpPr>
          <a:spLocks/>
        </xdr:cNvSpPr>
      </xdr:nvSpPr>
      <xdr:spPr>
        <a:xfrm>
          <a:off x="1219200" y="64960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76200</xdr:colOff>
      <xdr:row>83</xdr:row>
      <xdr:rowOff>66675</xdr:rowOff>
    </xdr:from>
    <xdr:ext cx="114300" cy="114300"/>
    <xdr:sp>
      <xdr:nvSpPr>
        <xdr:cNvPr id="15" name="Rectangle 29"/>
        <xdr:cNvSpPr>
          <a:spLocks/>
        </xdr:cNvSpPr>
      </xdr:nvSpPr>
      <xdr:spPr>
        <a:xfrm>
          <a:off x="1362075" y="64960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57150</xdr:colOff>
      <xdr:row>83</xdr:row>
      <xdr:rowOff>66675</xdr:rowOff>
    </xdr:from>
    <xdr:ext cx="114300" cy="114300"/>
    <xdr:sp>
      <xdr:nvSpPr>
        <xdr:cNvPr id="16" name="Rectangle 30"/>
        <xdr:cNvSpPr>
          <a:spLocks/>
        </xdr:cNvSpPr>
      </xdr:nvSpPr>
      <xdr:spPr>
        <a:xfrm>
          <a:off x="1514475" y="64960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86</xdr:row>
      <xdr:rowOff>0</xdr:rowOff>
    </xdr:from>
    <xdr:ext cx="114300" cy="114300"/>
    <xdr:sp>
      <xdr:nvSpPr>
        <xdr:cNvPr id="17" name="Rectangle 31"/>
        <xdr:cNvSpPr>
          <a:spLocks/>
        </xdr:cNvSpPr>
      </xdr:nvSpPr>
      <xdr:spPr>
        <a:xfrm>
          <a:off x="66675" y="665797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86</xdr:row>
      <xdr:rowOff>0</xdr:rowOff>
    </xdr:from>
    <xdr:ext cx="114300" cy="114300"/>
    <xdr:sp>
      <xdr:nvSpPr>
        <xdr:cNvPr id="18" name="Rectangle 32"/>
        <xdr:cNvSpPr>
          <a:spLocks/>
        </xdr:cNvSpPr>
      </xdr:nvSpPr>
      <xdr:spPr>
        <a:xfrm>
          <a:off x="238125" y="665797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90</xdr:row>
      <xdr:rowOff>57150</xdr:rowOff>
    </xdr:from>
    <xdr:ext cx="114300" cy="114300"/>
    <xdr:sp>
      <xdr:nvSpPr>
        <xdr:cNvPr id="19" name="Rectangle 40"/>
        <xdr:cNvSpPr>
          <a:spLocks/>
        </xdr:cNvSpPr>
      </xdr:nvSpPr>
      <xdr:spPr>
        <a:xfrm>
          <a:off x="76200" y="7019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</xdr:colOff>
      <xdr:row>90</xdr:row>
      <xdr:rowOff>57150</xdr:rowOff>
    </xdr:from>
    <xdr:ext cx="114300" cy="114300"/>
    <xdr:sp>
      <xdr:nvSpPr>
        <xdr:cNvPr id="20" name="Rectangle 41"/>
        <xdr:cNvSpPr>
          <a:spLocks/>
        </xdr:cNvSpPr>
      </xdr:nvSpPr>
      <xdr:spPr>
        <a:xfrm>
          <a:off x="228600" y="7019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</xdr:colOff>
      <xdr:row>90</xdr:row>
      <xdr:rowOff>57150</xdr:rowOff>
    </xdr:from>
    <xdr:ext cx="114300" cy="114300"/>
    <xdr:sp>
      <xdr:nvSpPr>
        <xdr:cNvPr id="21" name="Rectangle 42"/>
        <xdr:cNvSpPr>
          <a:spLocks/>
        </xdr:cNvSpPr>
      </xdr:nvSpPr>
      <xdr:spPr>
        <a:xfrm>
          <a:off x="390525" y="7019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</xdr:colOff>
      <xdr:row>90</xdr:row>
      <xdr:rowOff>57150</xdr:rowOff>
    </xdr:from>
    <xdr:ext cx="114300" cy="114300"/>
    <xdr:sp>
      <xdr:nvSpPr>
        <xdr:cNvPr id="22" name="Rectangle 43"/>
        <xdr:cNvSpPr>
          <a:spLocks/>
        </xdr:cNvSpPr>
      </xdr:nvSpPr>
      <xdr:spPr>
        <a:xfrm>
          <a:off x="542925" y="7019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90</xdr:row>
      <xdr:rowOff>57150</xdr:rowOff>
    </xdr:from>
    <xdr:ext cx="114300" cy="114300"/>
    <xdr:sp>
      <xdr:nvSpPr>
        <xdr:cNvPr id="23" name="Rectangle 44"/>
        <xdr:cNvSpPr>
          <a:spLocks/>
        </xdr:cNvSpPr>
      </xdr:nvSpPr>
      <xdr:spPr>
        <a:xfrm>
          <a:off x="704850" y="7019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57150</xdr:rowOff>
    </xdr:from>
    <xdr:ext cx="114300" cy="114300"/>
    <xdr:sp>
      <xdr:nvSpPr>
        <xdr:cNvPr id="24" name="Rectangle 45"/>
        <xdr:cNvSpPr>
          <a:spLocks/>
        </xdr:cNvSpPr>
      </xdr:nvSpPr>
      <xdr:spPr>
        <a:xfrm>
          <a:off x="857250" y="7019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90</xdr:row>
      <xdr:rowOff>57150</xdr:rowOff>
    </xdr:from>
    <xdr:ext cx="114300" cy="114300"/>
    <xdr:sp>
      <xdr:nvSpPr>
        <xdr:cNvPr id="25" name="Rectangle 46"/>
        <xdr:cNvSpPr>
          <a:spLocks/>
        </xdr:cNvSpPr>
      </xdr:nvSpPr>
      <xdr:spPr>
        <a:xfrm>
          <a:off x="1019175" y="7019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66675</xdr:colOff>
      <xdr:row>90</xdr:row>
      <xdr:rowOff>57150</xdr:rowOff>
    </xdr:from>
    <xdr:ext cx="114300" cy="114300"/>
    <xdr:sp>
      <xdr:nvSpPr>
        <xdr:cNvPr id="26" name="Rectangle 47"/>
        <xdr:cNvSpPr>
          <a:spLocks/>
        </xdr:cNvSpPr>
      </xdr:nvSpPr>
      <xdr:spPr>
        <a:xfrm>
          <a:off x="1181100" y="7019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95</xdr:row>
      <xdr:rowOff>57150</xdr:rowOff>
    </xdr:from>
    <xdr:ext cx="114300" cy="114300"/>
    <xdr:sp>
      <xdr:nvSpPr>
        <xdr:cNvPr id="27" name="Rectangle 48"/>
        <xdr:cNvSpPr>
          <a:spLocks/>
        </xdr:cNvSpPr>
      </xdr:nvSpPr>
      <xdr:spPr>
        <a:xfrm>
          <a:off x="66675" y="7400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95</xdr:row>
      <xdr:rowOff>57150</xdr:rowOff>
    </xdr:from>
    <xdr:ext cx="114300" cy="114300"/>
    <xdr:sp>
      <xdr:nvSpPr>
        <xdr:cNvPr id="28" name="Rectangle 49"/>
        <xdr:cNvSpPr>
          <a:spLocks/>
        </xdr:cNvSpPr>
      </xdr:nvSpPr>
      <xdr:spPr>
        <a:xfrm>
          <a:off x="219075" y="7400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95</xdr:row>
      <xdr:rowOff>57150</xdr:rowOff>
    </xdr:from>
    <xdr:ext cx="114300" cy="114300"/>
    <xdr:sp>
      <xdr:nvSpPr>
        <xdr:cNvPr id="29" name="Rectangle 50"/>
        <xdr:cNvSpPr>
          <a:spLocks/>
        </xdr:cNvSpPr>
      </xdr:nvSpPr>
      <xdr:spPr>
        <a:xfrm>
          <a:off x="371475" y="7400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95</xdr:row>
      <xdr:rowOff>57150</xdr:rowOff>
    </xdr:from>
    <xdr:ext cx="114300" cy="114300"/>
    <xdr:sp>
      <xdr:nvSpPr>
        <xdr:cNvPr id="30" name="Rectangle 51"/>
        <xdr:cNvSpPr>
          <a:spLocks/>
        </xdr:cNvSpPr>
      </xdr:nvSpPr>
      <xdr:spPr>
        <a:xfrm>
          <a:off x="533400" y="7400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57150</xdr:rowOff>
    </xdr:from>
    <xdr:ext cx="114300" cy="114300"/>
    <xdr:sp>
      <xdr:nvSpPr>
        <xdr:cNvPr id="31" name="Rectangle 52"/>
        <xdr:cNvSpPr>
          <a:spLocks/>
        </xdr:cNvSpPr>
      </xdr:nvSpPr>
      <xdr:spPr>
        <a:xfrm>
          <a:off x="685800" y="7400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76200</xdr:colOff>
      <xdr:row>95</xdr:row>
      <xdr:rowOff>57150</xdr:rowOff>
    </xdr:from>
    <xdr:ext cx="114300" cy="114300"/>
    <xdr:sp>
      <xdr:nvSpPr>
        <xdr:cNvPr id="32" name="Rectangle 53"/>
        <xdr:cNvSpPr>
          <a:spLocks/>
        </xdr:cNvSpPr>
      </xdr:nvSpPr>
      <xdr:spPr>
        <a:xfrm>
          <a:off x="847725" y="74009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100</xdr:row>
      <xdr:rowOff>19050</xdr:rowOff>
    </xdr:from>
    <xdr:ext cx="114300" cy="114300"/>
    <xdr:sp>
      <xdr:nvSpPr>
        <xdr:cNvPr id="33" name="Rectangle 54"/>
        <xdr:cNvSpPr>
          <a:spLocks/>
        </xdr:cNvSpPr>
      </xdr:nvSpPr>
      <xdr:spPr>
        <a:xfrm>
          <a:off x="66675" y="77438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100</xdr:row>
      <xdr:rowOff>19050</xdr:rowOff>
    </xdr:from>
    <xdr:ext cx="114300" cy="114300"/>
    <xdr:sp>
      <xdr:nvSpPr>
        <xdr:cNvPr id="34" name="Rectangle 55"/>
        <xdr:cNvSpPr>
          <a:spLocks/>
        </xdr:cNvSpPr>
      </xdr:nvSpPr>
      <xdr:spPr>
        <a:xfrm>
          <a:off x="238125" y="77438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100</xdr:row>
      <xdr:rowOff>19050</xdr:rowOff>
    </xdr:from>
    <xdr:ext cx="114300" cy="114300"/>
    <xdr:sp>
      <xdr:nvSpPr>
        <xdr:cNvPr id="35" name="Rectangle 56"/>
        <xdr:cNvSpPr>
          <a:spLocks/>
        </xdr:cNvSpPr>
      </xdr:nvSpPr>
      <xdr:spPr>
        <a:xfrm>
          <a:off x="419100" y="77438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19050</xdr:rowOff>
    </xdr:from>
    <xdr:ext cx="114300" cy="114300"/>
    <xdr:sp>
      <xdr:nvSpPr>
        <xdr:cNvPr id="36" name="Rectangle 57"/>
        <xdr:cNvSpPr>
          <a:spLocks/>
        </xdr:cNvSpPr>
      </xdr:nvSpPr>
      <xdr:spPr>
        <a:xfrm>
          <a:off x="600075" y="7743825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28575</xdr:rowOff>
    </xdr:from>
    <xdr:ext cx="114300" cy="114300"/>
    <xdr:sp>
      <xdr:nvSpPr>
        <xdr:cNvPr id="37" name="Rectangle 58"/>
        <xdr:cNvSpPr>
          <a:spLocks/>
        </xdr:cNvSpPr>
      </xdr:nvSpPr>
      <xdr:spPr>
        <a:xfrm>
          <a:off x="85725" y="81343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28575</xdr:rowOff>
    </xdr:from>
    <xdr:ext cx="114300" cy="114300"/>
    <xdr:sp>
      <xdr:nvSpPr>
        <xdr:cNvPr id="38" name="Rectangle 59"/>
        <xdr:cNvSpPr>
          <a:spLocks/>
        </xdr:cNvSpPr>
      </xdr:nvSpPr>
      <xdr:spPr>
        <a:xfrm>
          <a:off x="257175" y="8134350"/>
          <a:ext cx="1143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46</xdr:col>
      <xdr:colOff>0</xdr:colOff>
      <xdr:row>31</xdr:row>
      <xdr:rowOff>19050</xdr:rowOff>
    </xdr:from>
    <xdr:to>
      <xdr:col>69</xdr:col>
      <xdr:colOff>0</xdr:colOff>
      <xdr:row>76</xdr:row>
      <xdr:rowOff>9525</xdr:rowOff>
    </xdr:to>
    <xdr:sp macro="[0]!getpict">
      <xdr:nvSpPr>
        <xdr:cNvPr id="39" name="Rectangle 1"/>
        <xdr:cNvSpPr>
          <a:spLocks/>
        </xdr:cNvSpPr>
      </xdr:nvSpPr>
      <xdr:spPr>
        <a:xfrm>
          <a:off x="3943350" y="2486025"/>
          <a:ext cx="1971675" cy="34194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45</xdr:col>
      <xdr:colOff>47625</xdr:colOff>
      <xdr:row>76</xdr:row>
      <xdr:rowOff>19050</xdr:rowOff>
    </xdr:to>
    <xdr:sp>
      <xdr:nvSpPr>
        <xdr:cNvPr id="40" name="Rectangle 63"/>
        <xdr:cNvSpPr>
          <a:spLocks/>
        </xdr:cNvSpPr>
      </xdr:nvSpPr>
      <xdr:spPr>
        <a:xfrm>
          <a:off x="0" y="2428875"/>
          <a:ext cx="3905250" cy="34861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N45"/>
  <sheetViews>
    <sheetView tabSelected="1" workbookViewId="0" topLeftCell="A1">
      <pane ySplit="3" topLeftCell="BM4" activePane="bottomLeft" state="frozen"/>
      <selection pane="topLeft" activeCell="A1" sqref="A1"/>
      <selection pane="bottomLeft" activeCell="G44" sqref="G44"/>
    </sheetView>
  </sheetViews>
  <sheetFormatPr defaultColWidth="11.421875" defaultRowHeight="12.75"/>
  <cols>
    <col min="1" max="1" width="29.7109375" style="0" customWidth="1"/>
    <col min="3" max="3" width="4.7109375" style="0" customWidth="1"/>
    <col min="4" max="4" width="13.7109375" style="0" customWidth="1"/>
  </cols>
  <sheetData>
    <row r="1" spans="1:11" ht="12.75">
      <c r="A1" t="s">
        <v>17</v>
      </c>
      <c r="B1" s="14">
        <v>100</v>
      </c>
      <c r="D1" t="s">
        <v>125</v>
      </c>
      <c r="E1" s="42" t="str">
        <f>CONCATENATE(M4,M5,M6,M7,M8,M9,M10,M11,M12,M13,M14,M15,M16,M17,M18,M19,M20,M21,M22,M23,M24,M25,M26,M27,M28,M29,N30)</f>
        <v>                                                                                  </v>
      </c>
      <c r="F1" s="42"/>
      <c r="G1" s="42"/>
      <c r="H1" s="42"/>
      <c r="I1" s="42"/>
      <c r="J1" s="42"/>
      <c r="K1" s="42"/>
    </row>
    <row r="2" spans="1:11" ht="12.75">
      <c r="A2" t="s">
        <v>18</v>
      </c>
      <c r="B2" s="14">
        <f>H45</f>
        <v>0</v>
      </c>
      <c r="E2" s="42"/>
      <c r="F2" s="42"/>
      <c r="G2" s="42"/>
      <c r="H2" s="42"/>
      <c r="I2" s="42"/>
      <c r="J2" s="42"/>
      <c r="K2" s="42"/>
    </row>
    <row r="3" spans="1:11" ht="12.75">
      <c r="A3" t="s">
        <v>124</v>
      </c>
      <c r="B3" s="14">
        <f>B1-B2</f>
        <v>100</v>
      </c>
      <c r="E3" s="42"/>
      <c r="F3" s="42"/>
      <c r="G3" s="42"/>
      <c r="H3" s="42"/>
      <c r="I3" s="42"/>
      <c r="J3" s="42"/>
      <c r="K3" s="42"/>
    </row>
    <row r="4" spans="1:13" ht="23.25" customHeight="1">
      <c r="A4" t="s">
        <v>23</v>
      </c>
      <c r="B4">
        <v>5</v>
      </c>
      <c r="C4" t="str">
        <f>"bonus de "&amp;G4*5&amp;"%, 1 fois/aventure"</f>
        <v>bonus de 0%, 1 fois/aventure</v>
      </c>
      <c r="G4">
        <v>0</v>
      </c>
      <c r="H4">
        <f>IF(G4&lt;&gt;OR(TRUE,FALSE),G4*B4,IF(G4=TRUE,B4,0))</f>
        <v>0</v>
      </c>
      <c r="M4" t="str">
        <f>IF(H4&lt;&gt;0,A4&amp;"  ","  ")</f>
        <v>  </v>
      </c>
    </row>
    <row r="5" spans="1:13" ht="23.25" customHeight="1">
      <c r="A5" t="s">
        <v>52</v>
      </c>
      <c r="B5">
        <v>15</v>
      </c>
      <c r="G5">
        <v>0</v>
      </c>
      <c r="H5">
        <f aca="true" t="shared" si="0" ref="H5:H44">G5*B5</f>
        <v>0</v>
      </c>
      <c r="M5" t="str">
        <f aca="true" t="shared" si="1" ref="M5:M44">IF(H5&lt;&gt;0,A5&amp;"  ","  ")</f>
        <v>  </v>
      </c>
    </row>
    <row r="6" spans="1:13" ht="23.25" customHeight="1">
      <c r="A6" t="s">
        <v>53</v>
      </c>
      <c r="B6">
        <v>40</v>
      </c>
      <c r="G6" t="b">
        <v>0</v>
      </c>
      <c r="H6">
        <f t="shared" si="0"/>
        <v>0</v>
      </c>
      <c r="M6" t="str">
        <f t="shared" si="1"/>
        <v>  </v>
      </c>
    </row>
    <row r="7" spans="1:13" ht="23.25" customHeight="1">
      <c r="A7" t="s">
        <v>54</v>
      </c>
      <c r="B7">
        <v>1</v>
      </c>
      <c r="C7" s="13" t="s">
        <v>56</v>
      </c>
      <c r="F7" t="str">
        <f>"les patates coûtent"&amp;" "&amp;B4&amp;" piastres"</f>
        <v>les patates coûtent 5 piastres</v>
      </c>
      <c r="G7">
        <v>0</v>
      </c>
      <c r="H7">
        <f t="shared" si="0"/>
        <v>0</v>
      </c>
      <c r="J7">
        <f>G7</f>
        <v>0</v>
      </c>
      <c r="K7">
        <f ca="1">ROUNDUP(RAND()*3,0)*G7</f>
        <v>0</v>
      </c>
      <c r="M7" t="str">
        <f t="shared" si="1"/>
        <v>  </v>
      </c>
    </row>
    <row r="8" spans="1:13" ht="23.25" customHeight="1">
      <c r="A8" t="s">
        <v>55</v>
      </c>
      <c r="B8">
        <f>IF(G8&lt;2,30,25)</f>
        <v>30</v>
      </c>
      <c r="C8" s="13"/>
      <c r="G8">
        <v>0</v>
      </c>
      <c r="H8">
        <f t="shared" si="0"/>
        <v>0</v>
      </c>
      <c r="M8" t="str">
        <f t="shared" si="1"/>
        <v>  </v>
      </c>
    </row>
    <row r="9" spans="1:13" ht="23.25" customHeight="1">
      <c r="A9" t="s">
        <v>57</v>
      </c>
      <c r="B9">
        <v>20</v>
      </c>
      <c r="C9" t="s">
        <v>58</v>
      </c>
      <c r="G9" t="b">
        <v>0</v>
      </c>
      <c r="H9">
        <f t="shared" si="0"/>
        <v>0</v>
      </c>
      <c r="M9" t="str">
        <f t="shared" si="1"/>
        <v>  </v>
      </c>
    </row>
    <row r="10" spans="1:13" ht="23.25" customHeight="1">
      <c r="A10" s="15" t="s">
        <v>59</v>
      </c>
      <c r="B10">
        <v>5</v>
      </c>
      <c r="C10" t="str">
        <f>G10*1000&amp;" sols"</f>
        <v>0 sols</v>
      </c>
      <c r="G10">
        <v>0</v>
      </c>
      <c r="H10">
        <f t="shared" si="0"/>
        <v>0</v>
      </c>
      <c r="M10" t="str">
        <f t="shared" si="1"/>
        <v>  </v>
      </c>
    </row>
    <row r="11" spans="1:13" ht="23.25" customHeight="1">
      <c r="A11" t="s">
        <v>60</v>
      </c>
      <c r="B11">
        <v>25</v>
      </c>
      <c r="G11" t="b">
        <v>0</v>
      </c>
      <c r="H11">
        <f t="shared" si="0"/>
        <v>0</v>
      </c>
      <c r="M11" t="str">
        <f t="shared" si="1"/>
        <v>  </v>
      </c>
    </row>
    <row r="12" spans="1:13" ht="23.25" customHeight="1">
      <c r="A12" t="s">
        <v>3</v>
      </c>
      <c r="B12">
        <v>25</v>
      </c>
      <c r="C12" t="s">
        <v>126</v>
      </c>
      <c r="G12" t="b">
        <v>0</v>
      </c>
      <c r="H12">
        <f t="shared" si="0"/>
        <v>0</v>
      </c>
      <c r="J12">
        <f ca="1">10+ROUND(RAND()*10,0)</f>
        <v>18</v>
      </c>
      <c r="M12" t="str">
        <f t="shared" si="1"/>
        <v>  </v>
      </c>
    </row>
    <row r="13" spans="1:13" ht="23.25" customHeight="1">
      <c r="A13" t="s">
        <v>61</v>
      </c>
      <c r="B13">
        <v>20</v>
      </c>
      <c r="C13" t="s">
        <v>62</v>
      </c>
      <c r="G13">
        <v>0</v>
      </c>
      <c r="H13">
        <f t="shared" si="0"/>
        <v>0</v>
      </c>
      <c r="M13" t="str">
        <f t="shared" si="1"/>
        <v>  </v>
      </c>
    </row>
    <row r="14" spans="1:13" ht="23.25" customHeight="1">
      <c r="A14" t="s">
        <v>63</v>
      </c>
      <c r="B14">
        <v>20</v>
      </c>
      <c r="G14" t="b">
        <v>0</v>
      </c>
      <c r="H14">
        <f t="shared" si="0"/>
        <v>0</v>
      </c>
      <c r="M14" t="str">
        <f t="shared" si="1"/>
        <v>  </v>
      </c>
    </row>
    <row r="15" spans="1:13" ht="23.25" customHeight="1">
      <c r="A15" t="s">
        <v>64</v>
      </c>
      <c r="B15">
        <v>20</v>
      </c>
      <c r="C15" t="s">
        <v>65</v>
      </c>
      <c r="G15">
        <v>0</v>
      </c>
      <c r="H15">
        <f t="shared" si="0"/>
        <v>0</v>
      </c>
      <c r="M15" t="str">
        <f t="shared" si="1"/>
        <v>  </v>
      </c>
    </row>
    <row r="16" spans="1:13" ht="23.25" customHeight="1">
      <c r="A16" t="s">
        <v>66</v>
      </c>
      <c r="B16">
        <v>30</v>
      </c>
      <c r="C16" t="s">
        <v>67</v>
      </c>
      <c r="G16">
        <v>0</v>
      </c>
      <c r="H16">
        <f t="shared" si="0"/>
        <v>0</v>
      </c>
      <c r="M16" t="str">
        <f t="shared" si="1"/>
        <v>  </v>
      </c>
    </row>
    <row r="17" spans="1:13" ht="23.25" customHeight="1">
      <c r="A17" t="s">
        <v>68</v>
      </c>
      <c r="B17">
        <v>20</v>
      </c>
      <c r="C17" t="s">
        <v>69</v>
      </c>
      <c r="G17">
        <v>0</v>
      </c>
      <c r="H17">
        <f t="shared" si="0"/>
        <v>0</v>
      </c>
      <c r="M17" t="str">
        <f t="shared" si="1"/>
        <v>  </v>
      </c>
    </row>
    <row r="18" spans="1:13" ht="23.25" customHeight="1">
      <c r="A18" t="s">
        <v>70</v>
      </c>
      <c r="B18">
        <v>10</v>
      </c>
      <c r="G18">
        <v>0</v>
      </c>
      <c r="H18">
        <f t="shared" si="0"/>
        <v>0</v>
      </c>
      <c r="M18" t="str">
        <f t="shared" si="1"/>
        <v>  </v>
      </c>
    </row>
    <row r="19" spans="1:13" ht="23.25" customHeight="1">
      <c r="A19" t="s">
        <v>71</v>
      </c>
      <c r="B19">
        <v>20</v>
      </c>
      <c r="C19" t="s">
        <v>72</v>
      </c>
      <c r="G19">
        <v>0</v>
      </c>
      <c r="H19">
        <f t="shared" si="0"/>
        <v>0</v>
      </c>
      <c r="M19" t="str">
        <f t="shared" si="1"/>
        <v>  </v>
      </c>
    </row>
    <row r="20" spans="1:13" ht="23.25" customHeight="1">
      <c r="A20" t="s">
        <v>73</v>
      </c>
      <c r="B20">
        <v>80</v>
      </c>
      <c r="G20" t="b">
        <v>0</v>
      </c>
      <c r="H20">
        <f t="shared" si="0"/>
        <v>0</v>
      </c>
      <c r="M20" t="str">
        <f t="shared" si="1"/>
        <v>  </v>
      </c>
    </row>
    <row r="21" spans="1:13" ht="23.25" customHeight="1">
      <c r="A21" t="s">
        <v>74</v>
      </c>
      <c r="B21">
        <v>60</v>
      </c>
      <c r="G21" t="b">
        <v>0</v>
      </c>
      <c r="H21">
        <f t="shared" si="0"/>
        <v>0</v>
      </c>
      <c r="M21" t="str">
        <f t="shared" si="1"/>
        <v>  </v>
      </c>
    </row>
    <row r="22" spans="1:13" ht="23.25" customHeight="1">
      <c r="A22" t="s">
        <v>75</v>
      </c>
      <c r="B22">
        <v>15</v>
      </c>
      <c r="C22" t="s">
        <v>76</v>
      </c>
      <c r="G22">
        <v>0</v>
      </c>
      <c r="H22">
        <f t="shared" si="0"/>
        <v>0</v>
      </c>
      <c r="M22" t="str">
        <f t="shared" si="1"/>
        <v>  </v>
      </c>
    </row>
    <row r="23" spans="1:13" ht="23.25" customHeight="1">
      <c r="A23" t="s">
        <v>77</v>
      </c>
      <c r="B23">
        <v>10</v>
      </c>
      <c r="G23">
        <v>0</v>
      </c>
      <c r="H23">
        <f t="shared" si="0"/>
        <v>0</v>
      </c>
      <c r="M23" t="str">
        <f t="shared" si="1"/>
        <v>  </v>
      </c>
    </row>
    <row r="24" spans="1:13" ht="23.25" customHeight="1">
      <c r="A24" t="s">
        <v>78</v>
      </c>
      <c r="B24">
        <v>15</v>
      </c>
      <c r="G24" t="b">
        <v>0</v>
      </c>
      <c r="H24">
        <f t="shared" si="0"/>
        <v>0</v>
      </c>
      <c r="M24" t="str">
        <f t="shared" si="1"/>
        <v>  </v>
      </c>
    </row>
    <row r="25" spans="1:13" ht="23.25" customHeight="1">
      <c r="A25" t="s">
        <v>79</v>
      </c>
      <c r="B25">
        <v>20</v>
      </c>
      <c r="C25" t="s">
        <v>80</v>
      </c>
      <c r="G25">
        <v>0</v>
      </c>
      <c r="H25">
        <f t="shared" si="0"/>
        <v>0</v>
      </c>
      <c r="M25" t="str">
        <f t="shared" si="1"/>
        <v>  </v>
      </c>
    </row>
    <row r="26" spans="1:13" ht="23.25" customHeight="1">
      <c r="A26" t="s">
        <v>81</v>
      </c>
      <c r="B26">
        <v>20</v>
      </c>
      <c r="C26" t="s">
        <v>82</v>
      </c>
      <c r="G26">
        <v>0</v>
      </c>
      <c r="H26">
        <f t="shared" si="0"/>
        <v>0</v>
      </c>
      <c r="M26" t="str">
        <f t="shared" si="1"/>
        <v>  </v>
      </c>
    </row>
    <row r="27" spans="1:13" ht="23.25" customHeight="1">
      <c r="A27" t="s">
        <v>83</v>
      </c>
      <c r="B27">
        <v>30</v>
      </c>
      <c r="C27" t="s">
        <v>84</v>
      </c>
      <c r="G27">
        <v>0</v>
      </c>
      <c r="H27">
        <f t="shared" si="0"/>
        <v>0</v>
      </c>
      <c r="M27" t="str">
        <f t="shared" si="1"/>
        <v>  </v>
      </c>
    </row>
    <row r="28" spans="1:13" ht="23.25" customHeight="1">
      <c r="A28" t="s">
        <v>85</v>
      </c>
      <c r="B28">
        <v>20</v>
      </c>
      <c r="G28" t="b">
        <v>0</v>
      </c>
      <c r="H28">
        <f t="shared" si="0"/>
        <v>0</v>
      </c>
      <c r="M28" t="str">
        <f t="shared" si="1"/>
        <v>  </v>
      </c>
    </row>
    <row r="29" spans="1:13" ht="23.25" customHeight="1">
      <c r="A29" t="s">
        <v>86</v>
      </c>
      <c r="B29">
        <v>20</v>
      </c>
      <c r="C29" t="s">
        <v>87</v>
      </c>
      <c r="G29">
        <v>0</v>
      </c>
      <c r="H29">
        <f t="shared" si="0"/>
        <v>0</v>
      </c>
      <c r="M29" t="str">
        <f t="shared" si="1"/>
        <v>  </v>
      </c>
    </row>
    <row r="30" spans="1:14" ht="23.25" customHeight="1">
      <c r="A30" t="s">
        <v>88</v>
      </c>
      <c r="B30">
        <v>100</v>
      </c>
      <c r="G30" t="b">
        <v>0</v>
      </c>
      <c r="H30">
        <f t="shared" si="0"/>
        <v>0</v>
      </c>
      <c r="M30" t="str">
        <f t="shared" si="1"/>
        <v>  </v>
      </c>
      <c r="N30" t="str">
        <f>CONCATENATE(M30,M31,M32,M33,M34,M35,M36,M37,M38,M39,M40,M41,M42,M43,M44,)</f>
        <v>                              </v>
      </c>
    </row>
    <row r="31" spans="1:13" ht="23.25" customHeight="1">
      <c r="A31" t="s">
        <v>89</v>
      </c>
      <c r="B31">
        <v>50</v>
      </c>
      <c r="G31" t="b">
        <v>0</v>
      </c>
      <c r="H31">
        <f t="shared" si="0"/>
        <v>0</v>
      </c>
      <c r="M31" t="str">
        <f t="shared" si="1"/>
        <v>  </v>
      </c>
    </row>
    <row r="32" spans="1:13" ht="23.25" customHeight="1">
      <c r="A32" s="15" t="s">
        <v>90</v>
      </c>
      <c r="B32">
        <v>5</v>
      </c>
      <c r="G32">
        <v>0</v>
      </c>
      <c r="H32">
        <f t="shared" si="0"/>
        <v>0</v>
      </c>
      <c r="J32">
        <f>G32</f>
        <v>0</v>
      </c>
      <c r="M32" t="str">
        <f t="shared" si="1"/>
        <v>  </v>
      </c>
    </row>
    <row r="33" spans="1:13" ht="23.25" customHeight="1">
      <c r="A33" t="s">
        <v>91</v>
      </c>
      <c r="B33">
        <v>40</v>
      </c>
      <c r="C33" t="s">
        <v>92</v>
      </c>
      <c r="G33">
        <v>0</v>
      </c>
      <c r="H33">
        <f t="shared" si="0"/>
        <v>0</v>
      </c>
      <c r="M33" t="str">
        <f t="shared" si="1"/>
        <v>  </v>
      </c>
    </row>
    <row r="34" spans="1:13" ht="23.25" customHeight="1">
      <c r="A34" t="s">
        <v>93</v>
      </c>
      <c r="B34">
        <v>10</v>
      </c>
      <c r="G34">
        <v>0</v>
      </c>
      <c r="H34">
        <f t="shared" si="0"/>
        <v>0</v>
      </c>
      <c r="M34" t="str">
        <f t="shared" si="1"/>
        <v>  </v>
      </c>
    </row>
    <row r="35" spans="1:13" ht="23.25" customHeight="1">
      <c r="A35" t="s">
        <v>94</v>
      </c>
      <c r="B35">
        <v>25</v>
      </c>
      <c r="G35" t="b">
        <v>0</v>
      </c>
      <c r="H35">
        <f t="shared" si="0"/>
        <v>0</v>
      </c>
      <c r="M35" t="str">
        <f t="shared" si="1"/>
        <v>  </v>
      </c>
    </row>
    <row r="36" spans="1:13" ht="23.25" customHeight="1">
      <c r="A36" t="s">
        <v>95</v>
      </c>
      <c r="B36">
        <v>5</v>
      </c>
      <c r="C36" t="s">
        <v>96</v>
      </c>
      <c r="G36">
        <v>0</v>
      </c>
      <c r="H36">
        <f t="shared" si="0"/>
        <v>0</v>
      </c>
      <c r="M36" t="str">
        <f t="shared" si="1"/>
        <v>  </v>
      </c>
    </row>
    <row r="37" spans="1:13" ht="23.25" customHeight="1">
      <c r="A37" t="s">
        <v>97</v>
      </c>
      <c r="B37">
        <v>15</v>
      </c>
      <c r="G37">
        <v>0</v>
      </c>
      <c r="H37">
        <f t="shared" si="0"/>
        <v>0</v>
      </c>
      <c r="M37" t="str">
        <f t="shared" si="1"/>
        <v>  </v>
      </c>
    </row>
    <row r="38" spans="1:13" ht="23.25" customHeight="1">
      <c r="A38" t="s">
        <v>98</v>
      </c>
      <c r="B38">
        <v>10</v>
      </c>
      <c r="C38" t="s">
        <v>99</v>
      </c>
      <c r="G38">
        <v>0</v>
      </c>
      <c r="H38">
        <f t="shared" si="0"/>
        <v>0</v>
      </c>
      <c r="M38" t="str">
        <f t="shared" si="1"/>
        <v>  </v>
      </c>
    </row>
    <row r="39" spans="1:13" ht="23.25" customHeight="1">
      <c r="A39" t="s">
        <v>100</v>
      </c>
      <c r="B39">
        <v>20</v>
      </c>
      <c r="C39" t="s">
        <v>101</v>
      </c>
      <c r="G39">
        <v>0</v>
      </c>
      <c r="H39">
        <f t="shared" si="0"/>
        <v>0</v>
      </c>
      <c r="M39" t="str">
        <f t="shared" si="1"/>
        <v>  </v>
      </c>
    </row>
    <row r="40" spans="1:13" ht="23.25" customHeight="1">
      <c r="A40" t="s">
        <v>102</v>
      </c>
      <c r="B40">
        <v>20</v>
      </c>
      <c r="C40" t="s">
        <v>103</v>
      </c>
      <c r="G40">
        <v>0</v>
      </c>
      <c r="H40">
        <f t="shared" si="0"/>
        <v>0</v>
      </c>
      <c r="M40" t="str">
        <f t="shared" si="1"/>
        <v>  </v>
      </c>
    </row>
    <row r="41" spans="1:13" ht="23.25" customHeight="1">
      <c r="A41" t="s">
        <v>104</v>
      </c>
      <c r="B41">
        <v>40</v>
      </c>
      <c r="G41" t="b">
        <v>0</v>
      </c>
      <c r="H41">
        <f t="shared" si="0"/>
        <v>0</v>
      </c>
      <c r="M41" t="str">
        <f t="shared" si="1"/>
        <v>  </v>
      </c>
    </row>
    <row r="42" spans="1:13" ht="23.25" customHeight="1">
      <c r="A42" t="s">
        <v>105</v>
      </c>
      <c r="B42">
        <v>30</v>
      </c>
      <c r="C42" t="s">
        <v>106</v>
      </c>
      <c r="G42" t="b">
        <v>0</v>
      </c>
      <c r="H42">
        <f t="shared" si="0"/>
        <v>0</v>
      </c>
      <c r="M42" t="str">
        <f t="shared" si="1"/>
        <v>  </v>
      </c>
    </row>
    <row r="43" spans="1:13" ht="23.25" customHeight="1">
      <c r="A43" t="s">
        <v>107</v>
      </c>
      <c r="B43">
        <v>20</v>
      </c>
      <c r="C43" t="s">
        <v>108</v>
      </c>
      <c r="G43">
        <v>0</v>
      </c>
      <c r="H43">
        <f t="shared" si="0"/>
        <v>0</v>
      </c>
      <c r="M43" t="str">
        <f t="shared" si="1"/>
        <v>  </v>
      </c>
    </row>
    <row r="44" spans="1:13" ht="23.25" customHeight="1">
      <c r="A44" t="s">
        <v>109</v>
      </c>
      <c r="B44">
        <v>30</v>
      </c>
      <c r="C44" t="s">
        <v>110</v>
      </c>
      <c r="G44">
        <v>0</v>
      </c>
      <c r="H44">
        <f t="shared" si="0"/>
        <v>0</v>
      </c>
      <c r="M44" t="str">
        <f t="shared" si="1"/>
        <v>  </v>
      </c>
    </row>
    <row r="45" ht="19.5" customHeight="1">
      <c r="H45">
        <f>SUM(H4:H44)</f>
        <v>0</v>
      </c>
    </row>
    <row r="46" ht="19.5" customHeight="1"/>
  </sheetData>
  <mergeCells count="1">
    <mergeCell ref="E1:K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M17"/>
  <sheetViews>
    <sheetView workbookViewId="0" topLeftCell="A1">
      <selection activeCell="E8" sqref="E8"/>
    </sheetView>
  </sheetViews>
  <sheetFormatPr defaultColWidth="11.421875" defaultRowHeight="12.75"/>
  <cols>
    <col min="1" max="1" width="12.28125" style="0" customWidth="1"/>
  </cols>
  <sheetData>
    <row r="1" ht="12.75">
      <c r="A1" t="s">
        <v>16</v>
      </c>
    </row>
    <row r="2" ht="23.25">
      <c r="A2" s="4" t="s">
        <v>24</v>
      </c>
    </row>
    <row r="3" spans="1:2" ht="25.5" customHeight="1">
      <c r="A3" s="3" t="s">
        <v>25</v>
      </c>
      <c r="B3" s="2">
        <f>'Calculs attributs'!B11+'Calculs attributs'!C11+'Calculs attributs'!E11</f>
        <v>10</v>
      </c>
    </row>
    <row r="4" spans="1:4" ht="27" customHeight="1">
      <c r="A4" s="3" t="s">
        <v>6</v>
      </c>
      <c r="B4" s="2">
        <f>'Calculs attributs'!B2+'Calculs attributs'!C2+'Calculs attributs'!E2</f>
        <v>10</v>
      </c>
      <c r="D4" s="3" t="s">
        <v>17</v>
      </c>
    </row>
    <row r="5" spans="1:4" ht="27" customHeight="1">
      <c r="A5" s="3" t="s">
        <v>7</v>
      </c>
      <c r="B5" s="11">
        <f>'Calculs attributs'!B3+'Calculs attributs'!C3+'Calculs attributs'!E3</f>
        <v>10</v>
      </c>
      <c r="D5" s="2">
        <f>SUM('Calculs attributs'!B15:F15)</f>
        <v>116</v>
      </c>
    </row>
    <row r="6" spans="1:4" ht="27" customHeight="1">
      <c r="A6" s="3" t="s">
        <v>8</v>
      </c>
      <c r="B6" s="2">
        <f>'Calculs attributs'!B4+'Calculs attributs'!C4+'Calculs attributs'!E4</f>
        <v>10</v>
      </c>
      <c r="D6" s="3" t="s">
        <v>18</v>
      </c>
    </row>
    <row r="7" spans="1:4" ht="27" customHeight="1">
      <c r="A7" s="3" t="s">
        <v>9</v>
      </c>
      <c r="B7" s="2">
        <f>'Calculs attributs'!B5+'Calculs attributs'!C5+'Calculs attributs'!E5</f>
        <v>10</v>
      </c>
      <c r="D7" s="2">
        <f>SUM('Calculs attributs'!B2:B11,'Calculs attributs'!F2:F11)</f>
        <v>100</v>
      </c>
    </row>
    <row r="8" spans="1:5" ht="27" customHeight="1">
      <c r="A8" s="3" t="s">
        <v>10</v>
      </c>
      <c r="B8" s="2">
        <f>'Calculs attributs'!B6+'Calculs attributs'!C6+'Calculs attributs'!E6</f>
        <v>10</v>
      </c>
      <c r="D8" s="3" t="s">
        <v>15</v>
      </c>
      <c r="E8" s="2">
        <f>'Calculs attributs'!B12+'Calculs attributs'!E12</f>
        <v>50</v>
      </c>
    </row>
    <row r="9" spans="1:2" ht="27" customHeight="1">
      <c r="A9" s="3" t="s">
        <v>11</v>
      </c>
      <c r="B9" s="2">
        <f>'Calculs attributs'!B7+'Calculs attributs'!C7+'Calculs attributs'!E7</f>
        <v>10</v>
      </c>
    </row>
    <row r="10" spans="1:2" ht="27" customHeight="1">
      <c r="A10" s="3" t="s">
        <v>12</v>
      </c>
      <c r="B10" s="2">
        <f>'Calculs attributs'!B8+'Calculs attributs'!C8+'Calculs attributs'!E8</f>
        <v>10</v>
      </c>
    </row>
    <row r="11" spans="1:2" ht="27" customHeight="1">
      <c r="A11" s="3" t="s">
        <v>13</v>
      </c>
      <c r="B11" s="2">
        <f>'Calculs attributs'!B9+'Calculs attributs'!C9+'Calculs attributs'!E9</f>
        <v>10</v>
      </c>
    </row>
    <row r="12" spans="1:2" ht="27" customHeight="1">
      <c r="A12" s="3" t="s">
        <v>14</v>
      </c>
      <c r="B12" s="2">
        <f>'Calculs attributs'!B10+'Calculs attributs'!C10+'Calculs attributs'!E10</f>
        <v>10</v>
      </c>
    </row>
    <row r="13" ht="17.25" customHeight="1">
      <c r="B13" s="1"/>
    </row>
    <row r="14" spans="1:4" ht="45" customHeight="1">
      <c r="A14" s="43" t="s">
        <v>19</v>
      </c>
      <c r="B14" s="43"/>
      <c r="C14" s="43"/>
      <c r="D14" s="43"/>
    </row>
    <row r="15" spans="1:13" ht="23.25" customHeight="1">
      <c r="A15" s="3" t="s">
        <v>21</v>
      </c>
      <c r="C15" t="str">
        <f>IF(L15&lt;6,"aucune mutation",IF(L15&lt;9,"une mutation",IF(L16&lt;6,"une mutation",IF(AND(L16&lt;9,L16&gt;5),"deux mutations",IF(L17&lt;6,"deux mutations","trois mutations")))))</f>
        <v>aucune mutation</v>
      </c>
      <c r="L15">
        <v>1</v>
      </c>
      <c r="M15">
        <v>8</v>
      </c>
    </row>
    <row r="16" spans="1:13" ht="15.75">
      <c r="A16" s="3" t="s">
        <v>22</v>
      </c>
      <c r="C16" t="str">
        <f>IF(SUM(M15:M16)&lt;17,"Droitier",IF(SUM(M15:M16)&lt;20,"Gaucher","Ambidextre"))</f>
        <v>Droitier</v>
      </c>
      <c r="L16">
        <v>9</v>
      </c>
      <c r="M16">
        <v>8</v>
      </c>
    </row>
    <row r="17" spans="1:13" ht="15.75">
      <c r="A17" s="3" t="s">
        <v>20</v>
      </c>
      <c r="C17" t="str">
        <f>IF(M17=1,"Fécond","Stérile")</f>
        <v>Stérile</v>
      </c>
      <c r="L17">
        <v>1</v>
      </c>
      <c r="M17">
        <v>5</v>
      </c>
    </row>
  </sheetData>
  <mergeCells count="1">
    <mergeCell ref="A14:D14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K40"/>
  <sheetViews>
    <sheetView workbookViewId="0" topLeftCell="A1">
      <selection activeCell="E12" sqref="E12"/>
    </sheetView>
  </sheetViews>
  <sheetFormatPr defaultColWidth="11.42187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1</v>
      </c>
      <c r="H1">
        <v>-3</v>
      </c>
      <c r="J1">
        <v>16</v>
      </c>
      <c r="K1">
        <v>6</v>
      </c>
    </row>
    <row r="2" spans="1:11" ht="12.75">
      <c r="A2" t="s">
        <v>6</v>
      </c>
      <c r="B2">
        <v>10</v>
      </c>
      <c r="C2">
        <f>IF(OR(rhn=TRUE,rhp=TRUE),2,)</f>
        <v>0</v>
      </c>
      <c r="G2">
        <v>2</v>
      </c>
      <c r="H2">
        <v>-3</v>
      </c>
      <c r="J2">
        <v>17</v>
      </c>
      <c r="K2">
        <v>5</v>
      </c>
    </row>
    <row r="3" spans="1:11" ht="12.75">
      <c r="A3" t="s">
        <v>7</v>
      </c>
      <c r="B3">
        <v>10</v>
      </c>
      <c r="C3">
        <f>IF(rhn=TRUE,2,IF(rhp=TRUE,1,IF(rath=TRUE,3,)))</f>
        <v>0</v>
      </c>
      <c r="G3">
        <v>3</v>
      </c>
      <c r="H3">
        <v>-3</v>
      </c>
      <c r="J3">
        <v>18</v>
      </c>
      <c r="K3">
        <v>4</v>
      </c>
    </row>
    <row r="4" spans="1:11" ht="12.75">
      <c r="A4" t="s">
        <v>8</v>
      </c>
      <c r="B4">
        <v>10</v>
      </c>
      <c r="C4">
        <f>IF(rath=TRUE,2,)</f>
        <v>0</v>
      </c>
      <c r="G4">
        <v>4</v>
      </c>
      <c r="H4">
        <v>-3</v>
      </c>
      <c r="J4">
        <v>19</v>
      </c>
      <c r="K4">
        <v>3</v>
      </c>
    </row>
    <row r="5" spans="1:11" ht="12.75">
      <c r="A5" t="s">
        <v>9</v>
      </c>
      <c r="B5">
        <v>10</v>
      </c>
      <c r="C5">
        <f>IF(rath=TRUE,2,)</f>
        <v>0</v>
      </c>
      <c r="G5">
        <v>5</v>
      </c>
      <c r="H5">
        <v>-3</v>
      </c>
      <c r="J5">
        <v>20</v>
      </c>
      <c r="K5">
        <v>2</v>
      </c>
    </row>
    <row r="6" spans="1:11" ht="12.75">
      <c r="A6" t="s">
        <v>10</v>
      </c>
      <c r="B6">
        <v>10</v>
      </c>
      <c r="C6">
        <f>IF(rhp=TRUE,-2,IF(rath=TRUE,-6,))</f>
        <v>0</v>
      </c>
      <c r="G6">
        <v>6</v>
      </c>
      <c r="H6">
        <v>-3</v>
      </c>
      <c r="J6">
        <v>21</v>
      </c>
      <c r="K6">
        <v>1</v>
      </c>
    </row>
    <row r="7" spans="1:8" ht="12.75">
      <c r="A7" t="s">
        <v>11</v>
      </c>
      <c r="B7">
        <v>10</v>
      </c>
      <c r="C7">
        <f>IF(rath=TRUE,-3,)</f>
        <v>0</v>
      </c>
      <c r="G7">
        <v>7</v>
      </c>
      <c r="H7">
        <v>-2</v>
      </c>
    </row>
    <row r="8" spans="1:8" ht="12.75">
      <c r="A8" t="s">
        <v>12</v>
      </c>
      <c r="B8">
        <v>10</v>
      </c>
      <c r="C8">
        <f>IF(rhn=TRUE,-2,)</f>
        <v>0</v>
      </c>
      <c r="G8">
        <v>8</v>
      </c>
      <c r="H8">
        <v>-2</v>
      </c>
    </row>
    <row r="9" spans="1:8" ht="12.75">
      <c r="A9" t="s">
        <v>13</v>
      </c>
      <c r="B9">
        <v>10</v>
      </c>
      <c r="C9">
        <f>IF(rath=TRUE,3,)</f>
        <v>0</v>
      </c>
      <c r="G9">
        <v>9</v>
      </c>
      <c r="H9">
        <v>-2</v>
      </c>
    </row>
    <row r="10" spans="1:8" ht="12.75">
      <c r="A10" t="s">
        <v>14</v>
      </c>
      <c r="B10">
        <v>10</v>
      </c>
      <c r="C10">
        <f>IF(rhn=TRUE,1,IF(rath=TRUE,-3,))</f>
        <v>0</v>
      </c>
      <c r="G10">
        <v>10</v>
      </c>
      <c r="H10">
        <v>-1</v>
      </c>
    </row>
    <row r="11" spans="1:8" ht="12.75">
      <c r="A11" t="s">
        <v>26</v>
      </c>
      <c r="B11">
        <v>10</v>
      </c>
      <c r="C11">
        <f>IF(rhn=TRUE,1,IF(rhp=TRUE,1,IF(rath=TRUE,2,)))</f>
        <v>0</v>
      </c>
      <c r="G11">
        <v>11</v>
      </c>
      <c r="H11">
        <v>-1</v>
      </c>
    </row>
    <row r="12" spans="1:8" ht="12.75">
      <c r="A12" t="s">
        <v>15</v>
      </c>
      <c r="B12">
        <v>50</v>
      </c>
      <c r="G12">
        <v>12</v>
      </c>
      <c r="H12">
        <v>-1</v>
      </c>
    </row>
    <row r="13" spans="7:8" ht="12.75">
      <c r="G13">
        <v>13</v>
      </c>
      <c r="H13">
        <v>0</v>
      </c>
    </row>
    <row r="14" spans="7:8" ht="12.75">
      <c r="G14">
        <v>14</v>
      </c>
      <c r="H14">
        <v>0</v>
      </c>
    </row>
    <row r="15" spans="1:8" ht="12.75">
      <c r="A15" t="s">
        <v>17</v>
      </c>
      <c r="B15">
        <v>110</v>
      </c>
      <c r="D15">
        <f>IF(B12&lt;=50,(50-B12)/10*4,(50-B12)/10*2)</f>
        <v>0</v>
      </c>
      <c r="F15">
        <f>IF(age&lt;22,INDEX(bonage,age-15,2),0)</f>
        <v>6</v>
      </c>
      <c r="G15">
        <v>15</v>
      </c>
      <c r="H15">
        <v>0</v>
      </c>
    </row>
    <row r="16" spans="7:8" ht="12.75">
      <c r="G16">
        <v>16</v>
      </c>
      <c r="H16">
        <v>1</v>
      </c>
    </row>
    <row r="17" spans="7:8" ht="12.75">
      <c r="G17">
        <v>17</v>
      </c>
      <c r="H17">
        <v>1</v>
      </c>
    </row>
    <row r="18" spans="7:8" ht="12.75">
      <c r="G18">
        <v>18</v>
      </c>
      <c r="H18">
        <v>1</v>
      </c>
    </row>
    <row r="19" spans="7:8" ht="12.75">
      <c r="G19">
        <v>19</v>
      </c>
      <c r="H19">
        <v>2</v>
      </c>
    </row>
    <row r="20" spans="7:8" ht="12.75">
      <c r="G20">
        <v>20</v>
      </c>
      <c r="H20">
        <v>2</v>
      </c>
    </row>
    <row r="21" spans="7:8" ht="12.75">
      <c r="G21">
        <v>21</v>
      </c>
      <c r="H21">
        <v>2</v>
      </c>
    </row>
    <row r="22" spans="7:8" ht="12.75">
      <c r="G22">
        <v>22</v>
      </c>
      <c r="H22">
        <v>3</v>
      </c>
    </row>
    <row r="23" spans="7:8" ht="12.75">
      <c r="G23">
        <v>23</v>
      </c>
      <c r="H23">
        <v>3</v>
      </c>
    </row>
    <row r="24" spans="7:8" ht="12.75">
      <c r="G24">
        <v>24</v>
      </c>
      <c r="H24">
        <v>3</v>
      </c>
    </row>
    <row r="25" spans="7:8" ht="12.75">
      <c r="G25">
        <v>25</v>
      </c>
      <c r="H25">
        <v>4</v>
      </c>
    </row>
    <row r="26" spans="7:8" ht="12.75">
      <c r="G26">
        <v>26</v>
      </c>
      <c r="H26">
        <v>4</v>
      </c>
    </row>
    <row r="27" spans="7:8" ht="12.75">
      <c r="G27">
        <v>27</v>
      </c>
      <c r="H27">
        <v>4</v>
      </c>
    </row>
    <row r="28" spans="7:8" ht="12.75">
      <c r="G28">
        <v>28</v>
      </c>
      <c r="H28">
        <v>4</v>
      </c>
    </row>
    <row r="29" spans="7:8" ht="12.75">
      <c r="G29">
        <v>29</v>
      </c>
      <c r="H29">
        <v>5</v>
      </c>
    </row>
    <row r="30" spans="7:8" ht="12.75">
      <c r="G30">
        <v>30</v>
      </c>
      <c r="H30">
        <v>5</v>
      </c>
    </row>
    <row r="31" spans="7:8" ht="12.75">
      <c r="G31">
        <v>31</v>
      </c>
      <c r="H31">
        <v>5</v>
      </c>
    </row>
    <row r="32" spans="7:8" ht="12.75">
      <c r="G32">
        <v>32</v>
      </c>
      <c r="H32">
        <v>5</v>
      </c>
    </row>
    <row r="33" spans="7:8" ht="12.75">
      <c r="G33">
        <v>33</v>
      </c>
      <c r="H33">
        <v>5</v>
      </c>
    </row>
    <row r="34" spans="7:8" ht="12.75">
      <c r="G34">
        <v>34</v>
      </c>
      <c r="H34">
        <v>6</v>
      </c>
    </row>
    <row r="35" spans="7:8" ht="12.75">
      <c r="G35">
        <v>35</v>
      </c>
      <c r="H35">
        <v>6</v>
      </c>
    </row>
    <row r="36" spans="7:8" ht="12.75">
      <c r="G36">
        <v>36</v>
      </c>
      <c r="H36">
        <v>6</v>
      </c>
    </row>
    <row r="37" spans="7:8" ht="12.75">
      <c r="G37">
        <v>37</v>
      </c>
      <c r="H37">
        <v>6</v>
      </c>
    </row>
    <row r="38" spans="7:8" ht="12.75">
      <c r="G38">
        <v>38</v>
      </c>
      <c r="H38">
        <v>6</v>
      </c>
    </row>
    <row r="39" spans="7:8" ht="12.75">
      <c r="G39">
        <v>39</v>
      </c>
      <c r="H39">
        <v>6</v>
      </c>
    </row>
    <row r="40" spans="7:8" ht="12.75">
      <c r="G40">
        <v>40</v>
      </c>
      <c r="H40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M110"/>
  <sheetViews>
    <sheetView workbookViewId="0" topLeftCell="A1">
      <pane ySplit="4" topLeftCell="BM27" activePane="bottomLeft" state="frozen"/>
      <selection pane="topLeft" activeCell="A1" sqref="A1"/>
      <selection pane="bottomLeft" activeCell="A29" sqref="A29"/>
    </sheetView>
  </sheetViews>
  <sheetFormatPr defaultColWidth="11.421875" defaultRowHeight="12.75"/>
  <cols>
    <col min="1" max="1" width="4.00390625" style="0" customWidth="1"/>
    <col min="3" max="3" width="18.140625" style="0" customWidth="1"/>
    <col min="4" max="4" width="6.57421875" style="17" customWidth="1"/>
    <col min="5" max="5" width="2.140625" style="17" customWidth="1"/>
    <col min="6" max="6" width="3.7109375" style="17" customWidth="1"/>
    <col min="7" max="7" width="1.8515625" style="17" customWidth="1"/>
    <col min="8" max="8" width="6.7109375" style="17" customWidth="1"/>
    <col min="9" max="9" width="1.7109375" style="17" customWidth="1"/>
    <col min="10" max="10" width="6.57421875" style="17" customWidth="1"/>
    <col min="11" max="11" width="11.8515625" style="0" customWidth="1"/>
    <col min="12" max="12" width="4.00390625" style="0" customWidth="1"/>
  </cols>
  <sheetData>
    <row r="1" spans="1:13" ht="19.5" customHeight="1">
      <c r="A1" s="21"/>
      <c r="B1" s="35" t="s">
        <v>27</v>
      </c>
      <c r="C1" s="35"/>
      <c r="D1" s="23"/>
      <c r="E1" s="23"/>
      <c r="F1" s="23"/>
      <c r="G1" s="24"/>
      <c r="H1" s="24"/>
      <c r="I1" s="24"/>
      <c r="J1" s="24"/>
      <c r="K1" s="5"/>
      <c r="M1" t="s">
        <v>17</v>
      </c>
    </row>
    <row r="2" spans="2:13" ht="12.75">
      <c r="B2" s="12"/>
      <c r="D2" s="16"/>
      <c r="E2" s="16"/>
      <c r="F2" s="16"/>
      <c r="H2" s="24"/>
      <c r="I2" s="24"/>
      <c r="J2" s="24"/>
      <c r="K2" s="5"/>
      <c r="M2" s="17">
        <f>(ageprof*5)+compsaba+25</f>
        <v>25</v>
      </c>
    </row>
    <row r="3" spans="2:13" ht="12.75">
      <c r="B3" s="12"/>
      <c r="D3" s="16"/>
      <c r="E3" s="16"/>
      <c r="F3" s="16"/>
      <c r="M3" t="s">
        <v>231</v>
      </c>
    </row>
    <row r="4" spans="1:13" s="25" customFormat="1" ht="16.5">
      <c r="A4" s="26"/>
      <c r="B4" s="28" t="s">
        <v>141</v>
      </c>
      <c r="C4" s="26"/>
      <c r="D4" s="27" t="s">
        <v>137</v>
      </c>
      <c r="E4" s="27"/>
      <c r="F4" s="28" t="s">
        <v>51</v>
      </c>
      <c r="G4" s="29"/>
      <c r="H4" s="29" t="s">
        <v>139</v>
      </c>
      <c r="I4" s="30"/>
      <c r="J4" s="29" t="s">
        <v>140</v>
      </c>
      <c r="K4" s="26"/>
      <c r="L4" s="26"/>
      <c r="M4" s="17">
        <f>M2-SUM(nivcomp)</f>
        <v>25</v>
      </c>
    </row>
    <row r="5" spans="2:6" ht="18.75">
      <c r="B5" s="32" t="s">
        <v>142</v>
      </c>
      <c r="D5" s="16"/>
      <c r="F5" s="16"/>
    </row>
    <row r="6" spans="1:10" s="20" customFormat="1" ht="12.75" customHeight="1">
      <c r="A6" s="19"/>
      <c r="B6" s="40" t="s">
        <v>143</v>
      </c>
      <c r="D6" s="38"/>
      <c r="E6" s="36" t="s">
        <v>138</v>
      </c>
      <c r="F6" s="34">
        <f ca="1">IF(D6&lt;&gt;0,ROUND(RAND()*(10-1)+1,0),)</f>
        <v>0</v>
      </c>
      <c r="G6" s="36" t="s">
        <v>138</v>
      </c>
      <c r="H6" s="37">
        <f>ROUND((agi+ins+sgf)/3,0)+(agil*5)</f>
        <v>10</v>
      </c>
      <c r="I6" s="36" t="s">
        <v>138</v>
      </c>
      <c r="J6" s="17" t="str">
        <f>H6+F6+(D6*10)&amp;"%"</f>
        <v>10%</v>
      </c>
    </row>
    <row r="7" spans="2:10" s="20" customFormat="1" ht="12.75">
      <c r="B7" s="40" t="s">
        <v>208</v>
      </c>
      <c r="D7" s="38"/>
      <c r="E7" s="36" t="s">
        <v>138</v>
      </c>
      <c r="F7" s="34">
        <f aca="true" ca="1" t="shared" si="0" ref="F7:F25">IF(D7&lt;&gt;0,ROUND(RAND()*(10-1)+1,0),)</f>
        <v>0</v>
      </c>
      <c r="G7" s="36" t="s">
        <v>138</v>
      </c>
      <c r="H7" s="37">
        <f>ROUND((agi+ins+sgf)/3,0)</f>
        <v>10</v>
      </c>
      <c r="I7" s="36" t="s">
        <v>138</v>
      </c>
      <c r="J7" s="17" t="str">
        <f aca="true" t="shared" si="1" ref="J7:J25">H7+F7+(D7*10)&amp;"%"</f>
        <v>10%</v>
      </c>
    </row>
    <row r="8" spans="2:10" s="20" customFormat="1" ht="12.75">
      <c r="B8" s="40" t="s">
        <v>144</v>
      </c>
      <c r="D8" s="38"/>
      <c r="E8" s="36" t="s">
        <v>138</v>
      </c>
      <c r="F8" s="34">
        <f ca="1" t="shared" si="0"/>
        <v>0</v>
      </c>
      <c r="G8" s="36" t="s">
        <v>138</v>
      </c>
      <c r="H8" s="37">
        <f>ROUND((agi+ins+sgf)/3,0)+(agil*5)</f>
        <v>10</v>
      </c>
      <c r="I8" s="36" t="s">
        <v>138</v>
      </c>
      <c r="J8" s="17" t="str">
        <f t="shared" si="1"/>
        <v>10%</v>
      </c>
    </row>
    <row r="9" spans="2:10" s="20" customFormat="1" ht="12.75">
      <c r="B9" s="40" t="s">
        <v>145</v>
      </c>
      <c r="D9" s="38"/>
      <c r="E9" s="36" t="s">
        <v>138</v>
      </c>
      <c r="F9" s="34">
        <f ca="1" t="shared" si="0"/>
        <v>0</v>
      </c>
      <c r="G9" s="36" t="s">
        <v>138</v>
      </c>
      <c r="H9" s="37">
        <f>ROUND((agi+ins+sgf)/3,0)+(agil*5)</f>
        <v>10</v>
      </c>
      <c r="I9" s="36" t="s">
        <v>138</v>
      </c>
      <c r="J9" s="17" t="str">
        <f t="shared" si="1"/>
        <v>10%</v>
      </c>
    </row>
    <row r="10" spans="2:10" s="20" customFormat="1" ht="12.75">
      <c r="B10" s="40" t="s">
        <v>146</v>
      </c>
      <c r="D10" s="38"/>
      <c r="E10" s="36" t="s">
        <v>138</v>
      </c>
      <c r="F10" s="34">
        <f ca="1" t="shared" si="0"/>
        <v>0</v>
      </c>
      <c r="G10" s="36" t="s">
        <v>138</v>
      </c>
      <c r="H10" s="37">
        <f>ROUND((agi+ins+sgf)/3,0)+(agil*5)</f>
        <v>10</v>
      </c>
      <c r="I10" s="36" t="s">
        <v>138</v>
      </c>
      <c r="J10" s="17" t="str">
        <f t="shared" si="1"/>
        <v>10%</v>
      </c>
    </row>
    <row r="11" spans="2:10" s="20" customFormat="1" ht="12.75">
      <c r="B11" s="40" t="s">
        <v>147</v>
      </c>
      <c r="D11" s="38"/>
      <c r="E11" s="36" t="s">
        <v>138</v>
      </c>
      <c r="F11" s="34">
        <f ca="1" t="shared" si="0"/>
        <v>0</v>
      </c>
      <c r="G11" s="36" t="s">
        <v>138</v>
      </c>
      <c r="H11" s="37">
        <f>ROUND((agi+ins+sgf)/3,0)</f>
        <v>10</v>
      </c>
      <c r="I11" s="36" t="s">
        <v>138</v>
      </c>
      <c r="J11" s="17" t="str">
        <f t="shared" si="1"/>
        <v>10%</v>
      </c>
    </row>
    <row r="12" spans="2:10" s="20" customFormat="1" ht="12.75">
      <c r="B12" s="40" t="s">
        <v>155</v>
      </c>
      <c r="D12" s="38"/>
      <c r="E12" s="36" t="s">
        <v>138</v>
      </c>
      <c r="F12" s="34">
        <f ca="1" t="shared" si="0"/>
        <v>0</v>
      </c>
      <c r="G12" s="36" t="s">
        <v>138</v>
      </c>
      <c r="H12" s="37">
        <f>ROUND((agi+ins+sgf)/3,0)</f>
        <v>10</v>
      </c>
      <c r="I12" s="36" t="s">
        <v>138</v>
      </c>
      <c r="J12" s="17" t="str">
        <f t="shared" si="1"/>
        <v>10%</v>
      </c>
    </row>
    <row r="13" spans="2:10" s="20" customFormat="1" ht="12.75">
      <c r="B13" s="40" t="s">
        <v>148</v>
      </c>
      <c r="D13" s="38"/>
      <c r="E13" s="36" t="s">
        <v>138</v>
      </c>
      <c r="F13" s="34">
        <f ca="1" t="shared" si="0"/>
        <v>0</v>
      </c>
      <c r="G13" s="36" t="s">
        <v>138</v>
      </c>
      <c r="H13" s="37">
        <f>ROUND((agi+ins+sgf)/3,0)</f>
        <v>10</v>
      </c>
      <c r="I13" s="36" t="s">
        <v>138</v>
      </c>
      <c r="J13" s="17" t="str">
        <f t="shared" si="1"/>
        <v>10%</v>
      </c>
    </row>
    <row r="14" spans="2:10" s="20" customFormat="1" ht="12.75">
      <c r="B14" s="40" t="s">
        <v>149</v>
      </c>
      <c r="D14" s="38"/>
      <c r="E14" s="36" t="s">
        <v>138</v>
      </c>
      <c r="F14" s="34">
        <f ca="1" t="shared" si="0"/>
        <v>0</v>
      </c>
      <c r="G14" s="36" t="s">
        <v>138</v>
      </c>
      <c r="H14" s="37">
        <f>ROUND((agi+ins+sgf)/3,0)+(agil*5)</f>
        <v>10</v>
      </c>
      <c r="I14" s="36" t="s">
        <v>138</v>
      </c>
      <c r="J14" s="17" t="str">
        <f t="shared" si="1"/>
        <v>10%</v>
      </c>
    </row>
    <row r="15" spans="2:10" s="20" customFormat="1" ht="12.75">
      <c r="B15" s="40" t="s">
        <v>150</v>
      </c>
      <c r="D15" s="38"/>
      <c r="E15" s="36" t="s">
        <v>138</v>
      </c>
      <c r="F15" s="34">
        <f ca="1" t="shared" si="0"/>
        <v>0</v>
      </c>
      <c r="G15" s="36" t="s">
        <v>138</v>
      </c>
      <c r="H15" s="37">
        <f>ROUND((agi+ins+sgf)/3,0)</f>
        <v>10</v>
      </c>
      <c r="I15" s="36" t="s">
        <v>138</v>
      </c>
      <c r="J15" s="17" t="str">
        <f t="shared" si="1"/>
        <v>10%</v>
      </c>
    </row>
    <row r="16" spans="2:10" s="20" customFormat="1" ht="12.75">
      <c r="B16" s="40" t="s">
        <v>151</v>
      </c>
      <c r="D16" s="38"/>
      <c r="E16" s="36" t="s">
        <v>138</v>
      </c>
      <c r="F16" s="34">
        <f ca="1" t="shared" si="0"/>
        <v>0</v>
      </c>
      <c r="G16" s="36" t="s">
        <v>138</v>
      </c>
      <c r="H16" s="37">
        <f>ROUND((agi+ins+sgf)/3,0)</f>
        <v>10</v>
      </c>
      <c r="I16" s="36" t="s">
        <v>138</v>
      </c>
      <c r="J16" s="17" t="str">
        <f t="shared" si="1"/>
        <v>10%</v>
      </c>
    </row>
    <row r="17" spans="2:10" s="20" customFormat="1" ht="12.75">
      <c r="B17" s="40" t="s">
        <v>152</v>
      </c>
      <c r="D17" s="38"/>
      <c r="E17" s="36" t="s">
        <v>138</v>
      </c>
      <c r="F17" s="34">
        <f ca="1" t="shared" si="0"/>
        <v>0</v>
      </c>
      <c r="G17" s="36" t="s">
        <v>138</v>
      </c>
      <c r="H17" s="37">
        <f>ROUND((agi+ins+sgf)/3,0)+(agil*5)</f>
        <v>10</v>
      </c>
      <c r="I17" s="36" t="s">
        <v>138</v>
      </c>
      <c r="J17" s="17" t="str">
        <f t="shared" si="1"/>
        <v>10%</v>
      </c>
    </row>
    <row r="18" spans="2:10" s="20" customFormat="1" ht="12.75">
      <c r="B18" s="40" t="s">
        <v>153</v>
      </c>
      <c r="D18" s="38"/>
      <c r="E18" s="36" t="s">
        <v>138</v>
      </c>
      <c r="F18" s="34">
        <f ca="1" t="shared" si="0"/>
        <v>0</v>
      </c>
      <c r="G18" s="36" t="s">
        <v>138</v>
      </c>
      <c r="H18" s="37">
        <f>ROUND((agi+ins+sgf)/3,0)+(agil*5)</f>
        <v>10</v>
      </c>
      <c r="I18" s="36" t="s">
        <v>138</v>
      </c>
      <c r="J18" s="17" t="str">
        <f t="shared" si="1"/>
        <v>10%</v>
      </c>
    </row>
    <row r="19" spans="2:10" s="20" customFormat="1" ht="12.75">
      <c r="B19" s="40" t="s">
        <v>154</v>
      </c>
      <c r="D19" s="38"/>
      <c r="E19" s="36" t="s">
        <v>138</v>
      </c>
      <c r="F19" s="34">
        <f ca="1" t="shared" si="0"/>
        <v>0</v>
      </c>
      <c r="G19" s="36" t="s">
        <v>138</v>
      </c>
      <c r="H19" s="37">
        <f>ROUND((agi+ins+sgf)/3,0)</f>
        <v>10</v>
      </c>
      <c r="I19" s="36" t="s">
        <v>138</v>
      </c>
      <c r="J19" s="17" t="str">
        <f t="shared" si="1"/>
        <v>10%</v>
      </c>
    </row>
    <row r="20" spans="2:10" s="20" customFormat="1" ht="12.75">
      <c r="B20" s="40" t="s">
        <v>159</v>
      </c>
      <c r="D20" s="38"/>
      <c r="E20" s="36" t="s">
        <v>138</v>
      </c>
      <c r="F20" s="34">
        <f ca="1" t="shared" si="0"/>
        <v>0</v>
      </c>
      <c r="G20" s="36" t="s">
        <v>138</v>
      </c>
      <c r="H20" s="37">
        <f>ROUND((agi+ins+sgf)/3,0)</f>
        <v>10</v>
      </c>
      <c r="I20" s="36" t="s">
        <v>138</v>
      </c>
      <c r="J20" s="17" t="str">
        <f t="shared" si="1"/>
        <v>10%</v>
      </c>
    </row>
    <row r="21" spans="2:10" s="20" customFormat="1" ht="12.75">
      <c r="B21" s="40" t="s">
        <v>156</v>
      </c>
      <c r="D21" s="38"/>
      <c r="E21" s="36" t="s">
        <v>138</v>
      </c>
      <c r="F21" s="34">
        <f ca="1" t="shared" si="0"/>
        <v>0</v>
      </c>
      <c r="G21" s="36" t="s">
        <v>138</v>
      </c>
      <c r="H21" s="37">
        <f>ROUND((agi+ins+sgf)/3,0)</f>
        <v>10</v>
      </c>
      <c r="I21" s="36" t="s">
        <v>138</v>
      </c>
      <c r="J21" s="17" t="str">
        <f t="shared" si="1"/>
        <v>10%</v>
      </c>
    </row>
    <row r="22" spans="2:10" s="20" customFormat="1" ht="12.75">
      <c r="B22" s="40" t="s">
        <v>157</v>
      </c>
      <c r="D22" s="38"/>
      <c r="E22" s="36" t="s">
        <v>138</v>
      </c>
      <c r="F22" s="34">
        <f ca="1" t="shared" si="0"/>
        <v>0</v>
      </c>
      <c r="G22" s="36" t="s">
        <v>138</v>
      </c>
      <c r="H22" s="37">
        <f>ROUND((agi+ins+sgf)/3,0)</f>
        <v>10</v>
      </c>
      <c r="I22" s="36" t="s">
        <v>138</v>
      </c>
      <c r="J22" s="17" t="str">
        <f t="shared" si="1"/>
        <v>10%</v>
      </c>
    </row>
    <row r="23" spans="2:10" s="20" customFormat="1" ht="12.75">
      <c r="B23" s="40" t="s">
        <v>158</v>
      </c>
      <c r="D23" s="38"/>
      <c r="E23" s="36" t="s">
        <v>138</v>
      </c>
      <c r="F23" s="34">
        <f ca="1" t="shared" si="0"/>
        <v>0</v>
      </c>
      <c r="G23" s="36" t="s">
        <v>138</v>
      </c>
      <c r="H23" s="37">
        <f>ROUND((agi+ins+sgf)/3,0)+(agil*5)</f>
        <v>10</v>
      </c>
      <c r="I23" s="36" t="s">
        <v>138</v>
      </c>
      <c r="J23" s="17" t="str">
        <f t="shared" si="1"/>
        <v>10%</v>
      </c>
    </row>
    <row r="24" spans="2:10" s="20" customFormat="1" ht="12.75">
      <c r="B24" s="40" t="s">
        <v>160</v>
      </c>
      <c r="D24" s="38"/>
      <c r="E24" s="36" t="s">
        <v>138</v>
      </c>
      <c r="F24" s="34">
        <f ca="1" t="shared" si="0"/>
        <v>0</v>
      </c>
      <c r="G24" s="36" t="s">
        <v>138</v>
      </c>
      <c r="H24" s="37">
        <f>ROUND((agi+ins+sgf)/3,0)+(agil*5)</f>
        <v>10</v>
      </c>
      <c r="I24" s="36" t="s">
        <v>138</v>
      </c>
      <c r="J24" s="17" t="str">
        <f t="shared" si="1"/>
        <v>10%</v>
      </c>
    </row>
    <row r="25" spans="2:10" s="20" customFormat="1" ht="12.75">
      <c r="B25" s="40" t="s">
        <v>161</v>
      </c>
      <c r="D25" s="38"/>
      <c r="E25" s="36" t="s">
        <v>138</v>
      </c>
      <c r="F25" s="34">
        <f ca="1" t="shared" si="0"/>
        <v>0</v>
      </c>
      <c r="G25" s="36" t="s">
        <v>138</v>
      </c>
      <c r="H25" s="37">
        <f>ROUND((agi+ins+sgf)/3,0)</f>
        <v>10</v>
      </c>
      <c r="I25" s="36" t="s">
        <v>138</v>
      </c>
      <c r="J25" s="17" t="str">
        <f t="shared" si="1"/>
        <v>10%</v>
      </c>
    </row>
    <row r="26" spans="2:10" s="20" customFormat="1" ht="12.75">
      <c r="B26" s="33"/>
      <c r="D26" s="34"/>
      <c r="E26" s="34"/>
      <c r="F26" s="34"/>
      <c r="G26" s="17"/>
      <c r="H26" s="17"/>
      <c r="I26" s="17"/>
      <c r="J26" s="17"/>
    </row>
    <row r="27" spans="2:10" s="20" customFormat="1" ht="18.75">
      <c r="B27" s="32" t="s">
        <v>171</v>
      </c>
      <c r="D27" s="34"/>
      <c r="E27" s="34"/>
      <c r="F27" s="34"/>
      <c r="G27" s="17"/>
      <c r="H27" s="17"/>
      <c r="I27" s="17"/>
      <c r="J27" s="17"/>
    </row>
    <row r="28" spans="2:10" s="20" customFormat="1" ht="12.75" customHeight="1">
      <c r="B28" s="33" t="s">
        <v>170</v>
      </c>
      <c r="D28" s="38"/>
      <c r="E28" s="36" t="s">
        <v>138</v>
      </c>
      <c r="F28" s="34">
        <f aca="true" ca="1" t="shared" si="2" ref="F28:F39">IF(D28&lt;&gt;0,ROUND(RAND()*(10-1)+1,0),)</f>
        <v>0</v>
      </c>
      <c r="G28" s="36" t="s">
        <v>138</v>
      </c>
      <c r="H28" s="34">
        <f aca="true" t="shared" si="3" ref="H28:H39">ROUND((agi+ins+sgf)/3,0)</f>
        <v>10</v>
      </c>
      <c r="I28" s="36" t="s">
        <v>138</v>
      </c>
      <c r="J28" s="17" t="str">
        <f aca="true" t="shared" si="4" ref="J28:J39">H28+F28+(D28*10)&amp;"%"</f>
        <v>10%</v>
      </c>
    </row>
    <row r="29" spans="2:10" s="20" customFormat="1" ht="12.75" customHeight="1">
      <c r="B29" s="33" t="s">
        <v>170</v>
      </c>
      <c r="D29" s="38"/>
      <c r="E29" s="36" t="s">
        <v>138</v>
      </c>
      <c r="F29" s="34">
        <f ca="1" t="shared" si="2"/>
        <v>0</v>
      </c>
      <c r="G29" s="36" t="s">
        <v>138</v>
      </c>
      <c r="H29" s="34">
        <f t="shared" si="3"/>
        <v>10</v>
      </c>
      <c r="I29" s="36" t="s">
        <v>138</v>
      </c>
      <c r="J29" s="17" t="str">
        <f t="shared" si="4"/>
        <v>10%</v>
      </c>
    </row>
    <row r="30" spans="2:10" s="20" customFormat="1" ht="12.75" customHeight="1">
      <c r="B30" s="33" t="s">
        <v>170</v>
      </c>
      <c r="D30" s="38"/>
      <c r="E30" s="36" t="s">
        <v>138</v>
      </c>
      <c r="F30" s="34">
        <f ca="1" t="shared" si="2"/>
        <v>0</v>
      </c>
      <c r="G30" s="36" t="s">
        <v>138</v>
      </c>
      <c r="H30" s="34">
        <f t="shared" si="3"/>
        <v>10</v>
      </c>
      <c r="I30" s="36" t="s">
        <v>138</v>
      </c>
      <c r="J30" s="17" t="str">
        <f t="shared" si="4"/>
        <v>10%</v>
      </c>
    </row>
    <row r="31" spans="2:10" s="20" customFormat="1" ht="12.75">
      <c r="B31" s="33" t="s">
        <v>170</v>
      </c>
      <c r="D31" s="38"/>
      <c r="E31" s="36" t="s">
        <v>138</v>
      </c>
      <c r="F31" s="34">
        <f ca="1" t="shared" si="2"/>
        <v>0</v>
      </c>
      <c r="G31" s="36" t="s">
        <v>138</v>
      </c>
      <c r="H31" s="34">
        <f t="shared" si="3"/>
        <v>10</v>
      </c>
      <c r="I31" s="36" t="s">
        <v>138</v>
      </c>
      <c r="J31" s="17" t="str">
        <f t="shared" si="4"/>
        <v>10%</v>
      </c>
    </row>
    <row r="32" spans="2:10" s="20" customFormat="1" ht="12.75">
      <c r="B32" s="33" t="s">
        <v>162</v>
      </c>
      <c r="D32" s="38"/>
      <c r="E32" s="36" t="s">
        <v>138</v>
      </c>
      <c r="F32" s="34">
        <f ca="1" t="shared" si="2"/>
        <v>0</v>
      </c>
      <c r="G32" s="36" t="s">
        <v>138</v>
      </c>
      <c r="H32" s="34">
        <f t="shared" si="3"/>
        <v>10</v>
      </c>
      <c r="I32" s="36" t="s">
        <v>138</v>
      </c>
      <c r="J32" s="17" t="str">
        <f t="shared" si="4"/>
        <v>10%</v>
      </c>
    </row>
    <row r="33" spans="2:10" s="20" customFormat="1" ht="12.75">
      <c r="B33" s="33" t="s">
        <v>163</v>
      </c>
      <c r="D33" s="38"/>
      <c r="E33" s="36" t="s">
        <v>138</v>
      </c>
      <c r="F33" s="34">
        <f ca="1" t="shared" si="2"/>
        <v>0</v>
      </c>
      <c r="G33" s="36" t="s">
        <v>138</v>
      </c>
      <c r="H33" s="34">
        <f t="shared" si="3"/>
        <v>10</v>
      </c>
      <c r="I33" s="36" t="s">
        <v>138</v>
      </c>
      <c r="J33" s="17" t="str">
        <f t="shared" si="4"/>
        <v>10%</v>
      </c>
    </row>
    <row r="34" spans="2:10" s="20" customFormat="1" ht="12.75">
      <c r="B34" s="33" t="s">
        <v>164</v>
      </c>
      <c r="D34" s="38"/>
      <c r="E34" s="36" t="s">
        <v>138</v>
      </c>
      <c r="F34" s="34">
        <f ca="1" t="shared" si="2"/>
        <v>0</v>
      </c>
      <c r="G34" s="36" t="s">
        <v>138</v>
      </c>
      <c r="H34" s="34">
        <f t="shared" si="3"/>
        <v>10</v>
      </c>
      <c r="I34" s="36" t="s">
        <v>138</v>
      </c>
      <c r="J34" s="17" t="str">
        <f t="shared" si="4"/>
        <v>10%</v>
      </c>
    </row>
    <row r="35" spans="2:10" s="20" customFormat="1" ht="12.75">
      <c r="B35" s="33" t="s">
        <v>165</v>
      </c>
      <c r="D35" s="38"/>
      <c r="E35" s="36" t="s">
        <v>138</v>
      </c>
      <c r="F35" s="34">
        <f ca="1" t="shared" si="2"/>
        <v>0</v>
      </c>
      <c r="G35" s="36" t="s">
        <v>138</v>
      </c>
      <c r="H35" s="34">
        <f t="shared" si="3"/>
        <v>10</v>
      </c>
      <c r="I35" s="36" t="s">
        <v>138</v>
      </c>
      <c r="J35" s="17" t="str">
        <f t="shared" si="4"/>
        <v>10%</v>
      </c>
    </row>
    <row r="36" spans="2:10" s="20" customFormat="1" ht="12.75">
      <c r="B36" s="33" t="s">
        <v>166</v>
      </c>
      <c r="D36" s="38"/>
      <c r="E36" s="36" t="s">
        <v>138</v>
      </c>
      <c r="F36" s="34">
        <f ca="1" t="shared" si="2"/>
        <v>0</v>
      </c>
      <c r="G36" s="36" t="s">
        <v>138</v>
      </c>
      <c r="H36" s="34">
        <f t="shared" si="3"/>
        <v>10</v>
      </c>
      <c r="I36" s="36" t="s">
        <v>138</v>
      </c>
      <c r="J36" s="17" t="str">
        <f t="shared" si="4"/>
        <v>10%</v>
      </c>
    </row>
    <row r="37" spans="2:10" s="20" customFormat="1" ht="12.75">
      <c r="B37" s="33" t="s">
        <v>167</v>
      </c>
      <c r="D37" s="38"/>
      <c r="E37" s="36" t="s">
        <v>138</v>
      </c>
      <c r="F37" s="34">
        <f ca="1" t="shared" si="2"/>
        <v>0</v>
      </c>
      <c r="G37" s="36" t="s">
        <v>138</v>
      </c>
      <c r="H37" s="34">
        <f t="shared" si="3"/>
        <v>10</v>
      </c>
      <c r="I37" s="36" t="s">
        <v>138</v>
      </c>
      <c r="J37" s="17" t="str">
        <f t="shared" si="4"/>
        <v>10%</v>
      </c>
    </row>
    <row r="38" spans="2:10" s="20" customFormat="1" ht="12.75">
      <c r="B38" s="33" t="s">
        <v>168</v>
      </c>
      <c r="D38" s="38"/>
      <c r="E38" s="36" t="s">
        <v>138</v>
      </c>
      <c r="F38" s="34">
        <f ca="1" t="shared" si="2"/>
        <v>0</v>
      </c>
      <c r="G38" s="36" t="s">
        <v>138</v>
      </c>
      <c r="H38" s="34">
        <f t="shared" si="3"/>
        <v>10</v>
      </c>
      <c r="I38" s="36" t="s">
        <v>138</v>
      </c>
      <c r="J38" s="17" t="str">
        <f t="shared" si="4"/>
        <v>10%</v>
      </c>
    </row>
    <row r="39" spans="2:10" s="20" customFormat="1" ht="12.75">
      <c r="B39" s="33" t="s">
        <v>169</v>
      </c>
      <c r="D39" s="38"/>
      <c r="E39" s="36" t="s">
        <v>138</v>
      </c>
      <c r="F39" s="34">
        <f ca="1" t="shared" si="2"/>
        <v>0</v>
      </c>
      <c r="G39" s="36" t="s">
        <v>138</v>
      </c>
      <c r="H39" s="34">
        <f t="shared" si="3"/>
        <v>10</v>
      </c>
      <c r="I39" s="36" t="s">
        <v>138</v>
      </c>
      <c r="J39" s="17" t="str">
        <f t="shared" si="4"/>
        <v>10%</v>
      </c>
    </row>
    <row r="40" spans="2:10" s="20" customFormat="1" ht="12.75">
      <c r="B40" s="33"/>
      <c r="D40" s="34"/>
      <c r="E40" s="34"/>
      <c r="F40" s="34"/>
      <c r="G40" s="17"/>
      <c r="H40" s="17"/>
      <c r="I40" s="17"/>
      <c r="J40" s="17"/>
    </row>
    <row r="41" spans="2:10" s="20" customFormat="1" ht="18.75">
      <c r="B41" s="32" t="s">
        <v>187</v>
      </c>
      <c r="D41" s="34"/>
      <c r="E41" s="34"/>
      <c r="F41" s="34"/>
      <c r="G41" s="17"/>
      <c r="H41" s="17"/>
      <c r="I41" s="17"/>
      <c r="J41" s="17"/>
    </row>
    <row r="42" spans="2:10" s="20" customFormat="1" ht="12.75">
      <c r="B42" s="33" t="s">
        <v>172</v>
      </c>
      <c r="D42" s="38"/>
      <c r="E42" s="36" t="s">
        <v>138</v>
      </c>
      <c r="F42" s="34">
        <f aca="true" ca="1" t="shared" si="5" ref="F42:F53">IF(D42&lt;&gt;0,ROUND(RAND()*(10-1)+1,0),)</f>
        <v>0</v>
      </c>
      <c r="G42" s="36" t="s">
        <v>138</v>
      </c>
      <c r="H42" s="17">
        <f aca="true" t="shared" si="6" ref="H42:H51">ROUND((ins+sgf+vol)/3,0)</f>
        <v>10</v>
      </c>
      <c r="I42" s="36" t="s">
        <v>138</v>
      </c>
      <c r="J42" s="17" t="str">
        <f aca="true" t="shared" si="7" ref="J42:J53">H42+F42+(D42*10)&amp;"%"</f>
        <v>10%</v>
      </c>
    </row>
    <row r="43" spans="2:10" s="20" customFormat="1" ht="12.75">
      <c r="B43" s="33" t="s">
        <v>173</v>
      </c>
      <c r="D43" s="38"/>
      <c r="E43" s="36" t="s">
        <v>138</v>
      </c>
      <c r="F43" s="34">
        <f ca="1" t="shared" si="5"/>
        <v>0</v>
      </c>
      <c r="G43" s="36" t="s">
        <v>138</v>
      </c>
      <c r="H43" s="17">
        <f t="shared" si="6"/>
        <v>10</v>
      </c>
      <c r="I43" s="17"/>
      <c r="J43" s="17" t="str">
        <f t="shared" si="7"/>
        <v>10%</v>
      </c>
    </row>
    <row r="44" spans="2:10" s="20" customFormat="1" ht="12.75">
      <c r="B44" s="33" t="s">
        <v>174</v>
      </c>
      <c r="D44" s="38"/>
      <c r="E44" s="36" t="s">
        <v>138</v>
      </c>
      <c r="F44" s="34">
        <f ca="1" t="shared" si="5"/>
        <v>0</v>
      </c>
      <c r="G44" s="36" t="s">
        <v>138</v>
      </c>
      <c r="H44" s="17">
        <f t="shared" si="6"/>
        <v>10</v>
      </c>
      <c r="I44" s="17"/>
      <c r="J44" s="17" t="str">
        <f t="shared" si="7"/>
        <v>10%</v>
      </c>
    </row>
    <row r="45" spans="2:10" s="20" customFormat="1" ht="12.75">
      <c r="B45" s="33" t="s">
        <v>175</v>
      </c>
      <c r="D45" s="38"/>
      <c r="E45" s="36" t="s">
        <v>138</v>
      </c>
      <c r="F45" s="34">
        <f ca="1" t="shared" si="5"/>
        <v>0</v>
      </c>
      <c r="G45" s="36" t="s">
        <v>138</v>
      </c>
      <c r="H45" s="17">
        <f t="shared" si="6"/>
        <v>10</v>
      </c>
      <c r="I45" s="17"/>
      <c r="J45" s="17" t="str">
        <f t="shared" si="7"/>
        <v>10%</v>
      </c>
    </row>
    <row r="46" spans="2:10" s="20" customFormat="1" ht="12.75">
      <c r="B46" s="40" t="s">
        <v>176</v>
      </c>
      <c r="D46" s="38"/>
      <c r="E46" s="36" t="s">
        <v>138</v>
      </c>
      <c r="F46" s="34">
        <f ca="1" t="shared" si="5"/>
        <v>0</v>
      </c>
      <c r="G46" s="36" t="s">
        <v>138</v>
      </c>
      <c r="H46" s="17">
        <f>ROUND((ins+sgf+vol)/3,0)+(obsti*5)</f>
        <v>10</v>
      </c>
      <c r="I46" s="17"/>
      <c r="J46" s="17" t="str">
        <f t="shared" si="7"/>
        <v>10%</v>
      </c>
    </row>
    <row r="47" spans="2:10" s="20" customFormat="1" ht="12.75">
      <c r="B47" s="33" t="s">
        <v>177</v>
      </c>
      <c r="D47" s="38"/>
      <c r="E47" s="36" t="s">
        <v>138</v>
      </c>
      <c r="F47" s="34">
        <f ca="1" t="shared" si="5"/>
        <v>0</v>
      </c>
      <c r="G47" s="36" t="s">
        <v>138</v>
      </c>
      <c r="H47" s="17">
        <f>ROUND((ins+sgf+vol)/3,0)+(ouie*10)</f>
        <v>10</v>
      </c>
      <c r="I47" s="17"/>
      <c r="J47" s="17" t="str">
        <f t="shared" si="7"/>
        <v>10%</v>
      </c>
    </row>
    <row r="48" spans="2:10" s="20" customFormat="1" ht="12.75">
      <c r="B48" s="33" t="s">
        <v>178</v>
      </c>
      <c r="D48" s="38"/>
      <c r="E48" s="36" t="s">
        <v>138</v>
      </c>
      <c r="F48" s="34">
        <f ca="1" t="shared" si="5"/>
        <v>0</v>
      </c>
      <c r="G48" s="36" t="s">
        <v>138</v>
      </c>
      <c r="H48" s="17">
        <f>ROUND((ins+sgf+vol)/3,0)+(obsti*5)</f>
        <v>10</v>
      </c>
      <c r="I48" s="17"/>
      <c r="J48" s="17" t="str">
        <f t="shared" si="7"/>
        <v>10%</v>
      </c>
    </row>
    <row r="49" spans="2:10" s="20" customFormat="1" ht="12.75">
      <c r="B49" s="33" t="s">
        <v>179</v>
      </c>
      <c r="D49" s="38"/>
      <c r="E49" s="36" t="s">
        <v>138</v>
      </c>
      <c r="F49" s="34">
        <f ca="1" t="shared" si="5"/>
        <v>0</v>
      </c>
      <c r="G49" s="36" t="s">
        <v>138</v>
      </c>
      <c r="H49" s="17">
        <f t="shared" si="6"/>
        <v>10</v>
      </c>
      <c r="I49" s="17"/>
      <c r="J49" s="17" t="str">
        <f t="shared" si="7"/>
        <v>10%</v>
      </c>
    </row>
    <row r="50" spans="2:10" s="20" customFormat="1" ht="12.75">
      <c r="B50" s="33" t="s">
        <v>180</v>
      </c>
      <c r="D50" s="38"/>
      <c r="E50" s="36" t="s">
        <v>138</v>
      </c>
      <c r="F50" s="34">
        <f ca="1" t="shared" si="5"/>
        <v>0</v>
      </c>
      <c r="G50" s="36" t="s">
        <v>138</v>
      </c>
      <c r="H50" s="17">
        <f t="shared" si="6"/>
        <v>10</v>
      </c>
      <c r="I50" s="17"/>
      <c r="J50" s="17" t="str">
        <f t="shared" si="7"/>
        <v>10%</v>
      </c>
    </row>
    <row r="51" spans="2:10" s="20" customFormat="1" ht="12.75">
      <c r="B51" s="33" t="s">
        <v>181</v>
      </c>
      <c r="D51" s="38"/>
      <c r="E51" s="36" t="s">
        <v>138</v>
      </c>
      <c r="F51" s="34">
        <f ca="1" t="shared" si="5"/>
        <v>0</v>
      </c>
      <c r="G51" s="36" t="s">
        <v>138</v>
      </c>
      <c r="H51" s="17">
        <f t="shared" si="6"/>
        <v>10</v>
      </c>
      <c r="I51" s="17"/>
      <c r="J51" s="17" t="str">
        <f t="shared" si="7"/>
        <v>10%</v>
      </c>
    </row>
    <row r="52" spans="2:10" s="20" customFormat="1" ht="12.75">
      <c r="B52" s="33" t="s">
        <v>182</v>
      </c>
      <c r="D52" s="38"/>
      <c r="E52" s="36" t="s">
        <v>138</v>
      </c>
      <c r="F52" s="34">
        <f ca="1" t="shared" si="5"/>
        <v>0</v>
      </c>
      <c r="G52" s="36" t="s">
        <v>138</v>
      </c>
      <c r="H52" s="17">
        <f>ROUND((ins+sgf+vol)/3,0)+(ouie*10)</f>
        <v>10</v>
      </c>
      <c r="I52" s="17"/>
      <c r="J52" s="17" t="str">
        <f t="shared" si="7"/>
        <v>10%</v>
      </c>
    </row>
    <row r="53" spans="2:10" s="20" customFormat="1" ht="12.75">
      <c r="B53" s="33" t="s">
        <v>183</v>
      </c>
      <c r="D53" s="38"/>
      <c r="E53" s="36" t="s">
        <v>138</v>
      </c>
      <c r="F53" s="34">
        <f ca="1" t="shared" si="5"/>
        <v>0</v>
      </c>
      <c r="G53" s="36" t="s">
        <v>138</v>
      </c>
      <c r="H53" s="17">
        <f>ROUND((ins+sgf+vol)/3,0)+(six*5)</f>
        <v>10</v>
      </c>
      <c r="I53" s="17"/>
      <c r="J53" s="17" t="str">
        <f t="shared" si="7"/>
        <v>10%</v>
      </c>
    </row>
    <row r="54" spans="4:11" s="20" customFormat="1" ht="15.75">
      <c r="D54" s="34"/>
      <c r="E54" s="34"/>
      <c r="F54" s="34"/>
      <c r="G54" s="17"/>
      <c r="H54" s="44" t="s">
        <v>230</v>
      </c>
      <c r="I54" s="44"/>
      <c r="J54" s="44"/>
      <c r="K54" s="44"/>
    </row>
    <row r="55" spans="1:11" ht="22.5" customHeight="1">
      <c r="A55" s="21"/>
      <c r="B55" s="35" t="s">
        <v>27</v>
      </c>
      <c r="C55" s="22"/>
      <c r="D55" s="23"/>
      <c r="E55" s="23"/>
      <c r="F55" s="23"/>
      <c r="G55" s="24"/>
      <c r="H55" s="24"/>
      <c r="I55" s="24"/>
      <c r="J55" s="24"/>
      <c r="K55" s="5"/>
    </row>
    <row r="56" spans="2:11" ht="12.75">
      <c r="B56" s="12"/>
      <c r="D56" s="16"/>
      <c r="E56" s="16"/>
      <c r="F56" s="16"/>
      <c r="H56" s="24"/>
      <c r="I56" s="24"/>
      <c r="J56" s="24"/>
      <c r="K56" s="5"/>
    </row>
    <row r="57" spans="2:6" ht="12.75" customHeight="1">
      <c r="B57" s="12"/>
      <c r="D57" s="16"/>
      <c r="E57" s="16"/>
      <c r="F57" s="16"/>
    </row>
    <row r="58" spans="1:12" ht="12.75" customHeight="1">
      <c r="A58" s="26"/>
      <c r="B58" s="28" t="s">
        <v>141</v>
      </c>
      <c r="C58" s="26"/>
      <c r="D58" s="27" t="s">
        <v>137</v>
      </c>
      <c r="E58" s="27"/>
      <c r="F58" s="28" t="s">
        <v>51</v>
      </c>
      <c r="G58" s="29"/>
      <c r="H58" s="29" t="s">
        <v>139</v>
      </c>
      <c r="I58" s="30"/>
      <c r="J58" s="29" t="s">
        <v>140</v>
      </c>
      <c r="K58" s="26"/>
      <c r="L58" s="26"/>
    </row>
    <row r="59" spans="2:9" ht="20.25" customHeight="1">
      <c r="B59" s="32" t="s">
        <v>186</v>
      </c>
      <c r="D59" s="16"/>
      <c r="E59" s="18"/>
      <c r="F59" s="16"/>
      <c r="G59" s="18"/>
      <c r="I59" s="18"/>
    </row>
    <row r="60" spans="2:10" ht="12.75" customHeight="1">
      <c r="B60" s="33" t="s">
        <v>184</v>
      </c>
      <c r="D60" s="39"/>
      <c r="E60" s="18" t="s">
        <v>138</v>
      </c>
      <c r="F60" s="34">
        <f aca="true" ca="1" t="shared" si="8" ref="F60:F72">IF(D60&lt;&gt;0,ROUND(RAND()*(10-1)+1,0),)</f>
        <v>0</v>
      </c>
      <c r="G60" s="18" t="s">
        <v>138</v>
      </c>
      <c r="H60" s="17">
        <f>ROUND((ins+sgf+vol)/3,0)+(six*5)</f>
        <v>10</v>
      </c>
      <c r="I60" s="18" t="s">
        <v>138</v>
      </c>
      <c r="J60" s="17">
        <f>H60+F60+(D60*10)</f>
        <v>10</v>
      </c>
    </row>
    <row r="61" spans="2:10" ht="12.75" customHeight="1">
      <c r="B61" s="33" t="s">
        <v>185</v>
      </c>
      <c r="D61" s="39"/>
      <c r="E61" s="18" t="s">
        <v>138</v>
      </c>
      <c r="F61" s="34">
        <f ca="1" t="shared" si="8"/>
        <v>0</v>
      </c>
      <c r="G61" s="18" t="s">
        <v>138</v>
      </c>
      <c r="H61" s="17">
        <f>ROUND((ins+sgf+vol)/3,0)+(vue*10)</f>
        <v>10</v>
      </c>
      <c r="I61" s="18" t="s">
        <v>138</v>
      </c>
      <c r="J61" s="17">
        <f aca="true" t="shared" si="9" ref="J61:J72">H61+F61+(D61*10)</f>
        <v>10</v>
      </c>
    </row>
    <row r="62" spans="1:12" ht="12.75" customHeight="1">
      <c r="A62" s="19"/>
      <c r="B62" s="33" t="s">
        <v>188</v>
      </c>
      <c r="C62" s="20"/>
      <c r="D62" s="39"/>
      <c r="E62" s="18" t="s">
        <v>138</v>
      </c>
      <c r="F62" s="34">
        <f ca="1" t="shared" si="8"/>
        <v>0</v>
      </c>
      <c r="G62" s="18" t="s">
        <v>138</v>
      </c>
      <c r="H62" s="17">
        <f>ROUND((ins+sgf+vol)/3,0)+(six*5)</f>
        <v>10</v>
      </c>
      <c r="I62" s="18" t="s">
        <v>138</v>
      </c>
      <c r="J62" s="17">
        <f t="shared" si="9"/>
        <v>10</v>
      </c>
      <c r="K62" s="20"/>
      <c r="L62" s="20"/>
    </row>
    <row r="63" spans="1:12" ht="12.75" customHeight="1">
      <c r="A63" s="20"/>
      <c r="B63" s="33" t="s">
        <v>189</v>
      </c>
      <c r="C63" s="20"/>
      <c r="D63" s="39"/>
      <c r="E63" s="18" t="s">
        <v>138</v>
      </c>
      <c r="F63" s="34">
        <f ca="1" t="shared" si="8"/>
        <v>0</v>
      </c>
      <c r="G63" s="18" t="s">
        <v>138</v>
      </c>
      <c r="H63" s="17">
        <f>ROUND((ins+sgf+vol)/3,0)+(six*5)</f>
        <v>10</v>
      </c>
      <c r="I63" s="18" t="s">
        <v>138</v>
      </c>
      <c r="J63" s="17">
        <f t="shared" si="9"/>
        <v>10</v>
      </c>
      <c r="K63" s="20"/>
      <c r="L63" s="20"/>
    </row>
    <row r="64" spans="1:12" ht="12.75" customHeight="1">
      <c r="A64" s="20"/>
      <c r="B64" s="33" t="s">
        <v>190</v>
      </c>
      <c r="C64" s="20"/>
      <c r="D64" s="39"/>
      <c r="E64" s="18" t="s">
        <v>138</v>
      </c>
      <c r="F64" s="34">
        <f ca="1" t="shared" si="8"/>
        <v>0</v>
      </c>
      <c r="G64" s="18" t="s">
        <v>138</v>
      </c>
      <c r="H64" s="17">
        <f>ROUND((ins+sgf+vol)/3,0)+(six*5)</f>
        <v>10</v>
      </c>
      <c r="I64" s="18" t="s">
        <v>138</v>
      </c>
      <c r="J64" s="17">
        <f t="shared" si="9"/>
        <v>10</v>
      </c>
      <c r="K64" s="20"/>
      <c r="L64" s="20"/>
    </row>
    <row r="65" spans="1:12" ht="12.75" customHeight="1">
      <c r="A65" s="20"/>
      <c r="B65" s="33" t="s">
        <v>191</v>
      </c>
      <c r="C65" s="20"/>
      <c r="D65" s="39"/>
      <c r="E65" s="18" t="s">
        <v>138</v>
      </c>
      <c r="F65" s="34">
        <f ca="1" t="shared" si="8"/>
        <v>0</v>
      </c>
      <c r="G65" s="18" t="s">
        <v>138</v>
      </c>
      <c r="H65" s="17">
        <f>ROUND((ins+sgf+vol)/3,0)+(gus*10)</f>
        <v>10</v>
      </c>
      <c r="I65" s="18" t="s">
        <v>138</v>
      </c>
      <c r="J65" s="17">
        <f t="shared" si="9"/>
        <v>10</v>
      </c>
      <c r="K65" s="20"/>
      <c r="L65" s="20"/>
    </row>
    <row r="66" spans="1:12" ht="12.75" customHeight="1">
      <c r="A66" s="20"/>
      <c r="B66" s="40" t="s">
        <v>192</v>
      </c>
      <c r="C66" s="20"/>
      <c r="D66" s="39"/>
      <c r="E66" s="18" t="s">
        <v>138</v>
      </c>
      <c r="F66" s="34">
        <f ca="1" t="shared" si="8"/>
        <v>0</v>
      </c>
      <c r="G66" s="18" t="s">
        <v>138</v>
      </c>
      <c r="H66" s="17">
        <f>ROUND((ins+sgf+vol)/3,0)+(tacti*10)</f>
        <v>10</v>
      </c>
      <c r="I66" s="18" t="s">
        <v>138</v>
      </c>
      <c r="J66" s="17">
        <f t="shared" si="9"/>
        <v>10</v>
      </c>
      <c r="K66" s="20"/>
      <c r="L66" s="20"/>
    </row>
    <row r="67" spans="1:12" ht="12.75" customHeight="1">
      <c r="A67" s="20"/>
      <c r="B67" s="40" t="s">
        <v>193</v>
      </c>
      <c r="C67" s="20"/>
      <c r="D67" s="39"/>
      <c r="E67" s="18" t="s">
        <v>138</v>
      </c>
      <c r="F67" s="34">
        <f ca="1" t="shared" si="8"/>
        <v>0</v>
      </c>
      <c r="G67" s="18" t="s">
        <v>138</v>
      </c>
      <c r="H67" s="17">
        <f>ROUND((ins+sgf+vol)/3,0)+(odora*10)</f>
        <v>10</v>
      </c>
      <c r="I67" s="18" t="s">
        <v>138</v>
      </c>
      <c r="J67" s="17">
        <f t="shared" si="9"/>
        <v>10</v>
      </c>
      <c r="K67" s="20"/>
      <c r="L67" s="20"/>
    </row>
    <row r="68" spans="1:12" ht="12.75" customHeight="1">
      <c r="A68" s="20"/>
      <c r="B68" s="40" t="s">
        <v>194</v>
      </c>
      <c r="C68" s="20"/>
      <c r="D68" s="39"/>
      <c r="E68" s="18" t="s">
        <v>138</v>
      </c>
      <c r="F68" s="34">
        <f ca="1" t="shared" si="8"/>
        <v>0</v>
      </c>
      <c r="G68" s="18" t="s">
        <v>138</v>
      </c>
      <c r="H68" s="17">
        <f>ROUND((ins+sgf+vol)/3,0)</f>
        <v>10</v>
      </c>
      <c r="I68" s="18" t="s">
        <v>138</v>
      </c>
      <c r="J68" s="17">
        <f t="shared" si="9"/>
        <v>10</v>
      </c>
      <c r="K68" s="20"/>
      <c r="L68" s="20"/>
    </row>
    <row r="69" spans="1:12" ht="12.75" customHeight="1">
      <c r="A69" s="20"/>
      <c r="B69" s="40" t="s">
        <v>195</v>
      </c>
      <c r="C69" s="20"/>
      <c r="D69" s="39"/>
      <c r="E69" s="18" t="s">
        <v>138</v>
      </c>
      <c r="F69" s="34">
        <f ca="1" t="shared" si="8"/>
        <v>0</v>
      </c>
      <c r="G69" s="18" t="s">
        <v>138</v>
      </c>
      <c r="H69" s="17">
        <f>ROUND((ins+sgf+vol)/3,0)+(agil*5)</f>
        <v>10</v>
      </c>
      <c r="I69" s="18" t="s">
        <v>138</v>
      </c>
      <c r="J69" s="17">
        <f t="shared" si="9"/>
        <v>10</v>
      </c>
      <c r="K69" s="20"/>
      <c r="L69" s="20"/>
    </row>
    <row r="70" spans="1:12" ht="12.75" customHeight="1">
      <c r="A70" s="20"/>
      <c r="B70" s="40" t="s">
        <v>196</v>
      </c>
      <c r="C70" s="20"/>
      <c r="D70" s="39"/>
      <c r="E70" s="18" t="s">
        <v>138</v>
      </c>
      <c r="F70" s="34">
        <f ca="1" t="shared" si="8"/>
        <v>0</v>
      </c>
      <c r="G70" s="18" t="s">
        <v>138</v>
      </c>
      <c r="H70" s="17">
        <f>ROUND((ins+sgf+vol)/3,0)</f>
        <v>10</v>
      </c>
      <c r="I70" s="18" t="s">
        <v>138</v>
      </c>
      <c r="J70" s="17">
        <f t="shared" si="9"/>
        <v>10</v>
      </c>
      <c r="K70" s="20"/>
      <c r="L70" s="20"/>
    </row>
    <row r="71" spans="1:12" ht="20.25" customHeight="1">
      <c r="A71" s="20"/>
      <c r="B71" s="32" t="s">
        <v>197</v>
      </c>
      <c r="C71" s="20"/>
      <c r="D71" s="34"/>
      <c r="E71" s="34"/>
      <c r="F71" s="34"/>
      <c r="K71" s="20"/>
      <c r="L71" s="20"/>
    </row>
    <row r="72" spans="1:12" ht="12.75" customHeight="1">
      <c r="A72" s="20"/>
      <c r="B72" s="40" t="s">
        <v>198</v>
      </c>
      <c r="C72" s="20"/>
      <c r="D72" s="38"/>
      <c r="E72" s="18" t="s">
        <v>138</v>
      </c>
      <c r="F72" s="34">
        <f ca="1" t="shared" si="8"/>
        <v>0</v>
      </c>
      <c r="G72" s="18" t="s">
        <v>138</v>
      </c>
      <c r="H72" s="17">
        <f>ROUND((ins+sgf+vol)/3,0)+(obsti*5)</f>
        <v>10</v>
      </c>
      <c r="I72" s="18" t="s">
        <v>138</v>
      </c>
      <c r="J72" s="17">
        <f t="shared" si="9"/>
        <v>10</v>
      </c>
      <c r="K72" s="20"/>
      <c r="L72" s="20"/>
    </row>
    <row r="73" spans="1:12" ht="12.75" customHeight="1">
      <c r="A73" s="20"/>
      <c r="B73" s="40" t="s">
        <v>41</v>
      </c>
      <c r="C73" s="20"/>
      <c r="D73" s="38"/>
      <c r="E73" s="18" t="s">
        <v>138</v>
      </c>
      <c r="F73" s="34">
        <f aca="true" ca="1" t="shared" si="10" ref="F73:F83">IF(D73&lt;&gt;0,ROUND(RAND()*(10-1)+1,0),)</f>
        <v>0</v>
      </c>
      <c r="G73" s="18" t="s">
        <v>138</v>
      </c>
      <c r="H73" s="17">
        <f>ROUND((ins+sgf+vol)/3,0)+(obsti*5)</f>
        <v>10</v>
      </c>
      <c r="I73" s="18" t="s">
        <v>138</v>
      </c>
      <c r="J73" s="17">
        <f aca="true" t="shared" si="11" ref="J73:J83">H73+F73+(D73*10)</f>
        <v>10</v>
      </c>
      <c r="K73" s="20"/>
      <c r="L73" s="20"/>
    </row>
    <row r="74" spans="1:12" ht="12.75" customHeight="1">
      <c r="A74" s="20"/>
      <c r="B74" s="40" t="s">
        <v>199</v>
      </c>
      <c r="C74" s="20"/>
      <c r="D74" s="38"/>
      <c r="E74" s="18" t="s">
        <v>138</v>
      </c>
      <c r="F74" s="34">
        <f ca="1" t="shared" si="10"/>
        <v>0</v>
      </c>
      <c r="G74" s="18" t="s">
        <v>138</v>
      </c>
      <c r="H74" s="17">
        <f>ROUND((ins+sgf+vol)/3,0)</f>
        <v>10</v>
      </c>
      <c r="I74" s="18" t="s">
        <v>138</v>
      </c>
      <c r="J74" s="17">
        <f t="shared" si="11"/>
        <v>10</v>
      </c>
      <c r="K74" s="20"/>
      <c r="L74" s="20"/>
    </row>
    <row r="75" spans="1:12" ht="12.75" customHeight="1">
      <c r="A75" s="20"/>
      <c r="B75" s="33" t="s">
        <v>200</v>
      </c>
      <c r="C75" s="20"/>
      <c r="D75" s="38"/>
      <c r="E75" s="18" t="s">
        <v>138</v>
      </c>
      <c r="F75" s="34">
        <f ca="1" t="shared" si="10"/>
        <v>0</v>
      </c>
      <c r="G75" s="18" t="s">
        <v>138</v>
      </c>
      <c r="H75" s="17">
        <f>ROUND((ins+sgf+vol)/3,0)+(obsti*5)</f>
        <v>10</v>
      </c>
      <c r="I75" s="18" t="s">
        <v>138</v>
      </c>
      <c r="J75" s="17">
        <f t="shared" si="11"/>
        <v>10</v>
      </c>
      <c r="K75" s="20"/>
      <c r="L75" s="20"/>
    </row>
    <row r="76" spans="1:12" ht="12.75" customHeight="1">
      <c r="A76" s="20"/>
      <c r="B76" s="33" t="s">
        <v>201</v>
      </c>
      <c r="C76" s="20"/>
      <c r="D76" s="38"/>
      <c r="E76" s="18" t="s">
        <v>138</v>
      </c>
      <c r="F76" s="34">
        <f ca="1" t="shared" si="10"/>
        <v>0</v>
      </c>
      <c r="G76" s="18" t="s">
        <v>138</v>
      </c>
      <c r="H76" s="17">
        <f>ROUND((ins+sgf+vol)/3,0)</f>
        <v>10</v>
      </c>
      <c r="I76" s="18" t="s">
        <v>138</v>
      </c>
      <c r="J76" s="17">
        <f t="shared" si="11"/>
        <v>10</v>
      </c>
      <c r="K76" s="20"/>
      <c r="L76" s="20"/>
    </row>
    <row r="77" spans="1:12" ht="12.75" customHeight="1">
      <c r="A77" s="20"/>
      <c r="B77" s="33" t="s">
        <v>202</v>
      </c>
      <c r="C77" s="20"/>
      <c r="D77" s="38"/>
      <c r="E77" s="18" t="s">
        <v>138</v>
      </c>
      <c r="F77" s="34">
        <f ca="1" t="shared" si="10"/>
        <v>0</v>
      </c>
      <c r="G77" s="18" t="s">
        <v>138</v>
      </c>
      <c r="H77" s="17">
        <f>ROUND((ins+sgf+vol)/3,0)+(obsti*5)</f>
        <v>10</v>
      </c>
      <c r="I77" s="18" t="s">
        <v>138</v>
      </c>
      <c r="J77" s="17">
        <f t="shared" si="11"/>
        <v>10</v>
      </c>
      <c r="K77" s="20"/>
      <c r="L77" s="20"/>
    </row>
    <row r="78" spans="1:12" ht="12.75" customHeight="1">
      <c r="A78" s="20"/>
      <c r="B78" s="33" t="s">
        <v>203</v>
      </c>
      <c r="C78" s="20"/>
      <c r="D78" s="38"/>
      <c r="E78" s="18" t="s">
        <v>138</v>
      </c>
      <c r="F78" s="34">
        <f ca="1" t="shared" si="10"/>
        <v>0</v>
      </c>
      <c r="G78" s="18" t="s">
        <v>138</v>
      </c>
      <c r="H78" s="17">
        <f>ROUND((ins+sgf+vol)/3,0)+(obsti*5)</f>
        <v>10</v>
      </c>
      <c r="I78" s="18" t="s">
        <v>138</v>
      </c>
      <c r="J78" s="17">
        <f t="shared" si="11"/>
        <v>10</v>
      </c>
      <c r="K78" s="20"/>
      <c r="L78" s="20"/>
    </row>
    <row r="79" spans="1:12" ht="12.75" customHeight="1">
      <c r="A79" s="20"/>
      <c r="B79" s="33" t="s">
        <v>204</v>
      </c>
      <c r="C79" s="20"/>
      <c r="D79" s="38"/>
      <c r="E79" s="18" t="s">
        <v>138</v>
      </c>
      <c r="F79" s="34">
        <f ca="1" t="shared" si="10"/>
        <v>0</v>
      </c>
      <c r="G79" s="18" t="s">
        <v>138</v>
      </c>
      <c r="H79" s="17">
        <f>ROUND((ins+sgf+vol)/3,0)+(obsti*5)</f>
        <v>10</v>
      </c>
      <c r="I79" s="18" t="s">
        <v>138</v>
      </c>
      <c r="J79" s="17">
        <f t="shared" si="11"/>
        <v>10</v>
      </c>
      <c r="K79" s="20"/>
      <c r="L79" s="20"/>
    </row>
    <row r="80" spans="1:12" ht="12.75" customHeight="1">
      <c r="A80" s="20"/>
      <c r="B80" s="33" t="s">
        <v>88</v>
      </c>
      <c r="C80" s="20"/>
      <c r="D80" s="38"/>
      <c r="E80" s="18" t="s">
        <v>138</v>
      </c>
      <c r="F80" s="34">
        <f ca="1" t="shared" si="10"/>
        <v>0</v>
      </c>
      <c r="G80" s="18" t="s">
        <v>138</v>
      </c>
      <c r="H80" s="17">
        <f>ROUND((ins+sgf+vol)/3,0)</f>
        <v>10</v>
      </c>
      <c r="I80" s="18" t="s">
        <v>138</v>
      </c>
      <c r="J80" s="17">
        <f t="shared" si="11"/>
        <v>10</v>
      </c>
      <c r="K80" s="20"/>
      <c r="L80" s="20"/>
    </row>
    <row r="81" spans="1:12" ht="12.75" customHeight="1">
      <c r="A81" s="20"/>
      <c r="B81" s="33" t="s">
        <v>205</v>
      </c>
      <c r="C81" s="20"/>
      <c r="D81" s="38"/>
      <c r="E81" s="18" t="s">
        <v>138</v>
      </c>
      <c r="F81" s="34">
        <f ca="1" t="shared" si="10"/>
        <v>0</v>
      </c>
      <c r="G81" s="18" t="s">
        <v>138</v>
      </c>
      <c r="H81" s="17">
        <f>ROUND((ins+sgf+vol)/3,0)+(obsti*5)</f>
        <v>10</v>
      </c>
      <c r="I81" s="18" t="s">
        <v>138</v>
      </c>
      <c r="J81" s="17">
        <f t="shared" si="11"/>
        <v>10</v>
      </c>
      <c r="K81" s="20"/>
      <c r="L81" s="20"/>
    </row>
    <row r="82" spans="1:12" ht="12.75" customHeight="1">
      <c r="A82" s="20"/>
      <c r="B82" s="33" t="s">
        <v>206</v>
      </c>
      <c r="C82" s="20"/>
      <c r="D82" s="38"/>
      <c r="E82" s="18" t="s">
        <v>138</v>
      </c>
      <c r="F82" s="34">
        <f ca="1" t="shared" si="10"/>
        <v>0</v>
      </c>
      <c r="G82" s="18" t="s">
        <v>138</v>
      </c>
      <c r="H82" s="17">
        <f>ROUND((ins+sgf+vol)/3,0)+(obsti*5)+(six*5)</f>
        <v>10</v>
      </c>
      <c r="I82" s="18" t="s">
        <v>138</v>
      </c>
      <c r="J82" s="17">
        <f t="shared" si="11"/>
        <v>10</v>
      </c>
      <c r="K82" s="20"/>
      <c r="L82" s="20"/>
    </row>
    <row r="83" spans="1:12" ht="12.75" customHeight="1">
      <c r="A83" s="20"/>
      <c r="B83" s="33" t="s">
        <v>207</v>
      </c>
      <c r="C83" s="20"/>
      <c r="D83" s="38"/>
      <c r="E83" s="18" t="s">
        <v>138</v>
      </c>
      <c r="F83" s="34">
        <f ca="1" t="shared" si="10"/>
        <v>0</v>
      </c>
      <c r="G83" s="18" t="s">
        <v>138</v>
      </c>
      <c r="H83" s="17">
        <f>ROUND((ins+sgf+vol)/3,0)+(obsti*5)</f>
        <v>10</v>
      </c>
      <c r="I83" s="18" t="s">
        <v>138</v>
      </c>
      <c r="J83" s="17">
        <f t="shared" si="11"/>
        <v>10</v>
      </c>
      <c r="K83" s="20"/>
      <c r="L83" s="20"/>
    </row>
    <row r="84" spans="1:12" ht="20.25" customHeight="1">
      <c r="A84" s="20"/>
      <c r="B84" s="32" t="s">
        <v>210</v>
      </c>
      <c r="C84" s="20"/>
      <c r="D84" s="34"/>
      <c r="E84" s="34"/>
      <c r="F84" s="34"/>
      <c r="K84" s="20"/>
      <c r="L84" s="20"/>
    </row>
    <row r="85" spans="1:12" ht="12.75" customHeight="1">
      <c r="A85" s="20"/>
      <c r="B85" s="33" t="s">
        <v>209</v>
      </c>
      <c r="C85" s="20"/>
      <c r="D85" s="38"/>
      <c r="E85" s="18" t="s">
        <v>138</v>
      </c>
      <c r="F85" s="34">
        <f ca="1">IF(D85&lt;&gt;0,ROUND(RAND()*(10-1)+1,0),)</f>
        <v>0</v>
      </c>
      <c r="G85" s="18" t="s">
        <v>138</v>
      </c>
      <c r="H85" s="17">
        <f>ROUND((agi+ins)-gab,0)</f>
        <v>10</v>
      </c>
      <c r="I85" s="18" t="s">
        <v>138</v>
      </c>
      <c r="J85" s="17">
        <f>H85+F85+(D85*10)</f>
        <v>10</v>
      </c>
      <c r="K85" s="20"/>
      <c r="L85" s="20"/>
    </row>
    <row r="86" spans="1:12" ht="12.75" customHeight="1">
      <c r="A86" s="20"/>
      <c r="B86" s="33" t="s">
        <v>211</v>
      </c>
      <c r="C86" s="20"/>
      <c r="D86" s="38"/>
      <c r="E86" s="18" t="s">
        <v>138</v>
      </c>
      <c r="F86" s="34">
        <f ca="1">IF(D86&lt;&gt;0,ROUND(RAND()*(10-1)+1,0),)</f>
        <v>0</v>
      </c>
      <c r="G86" s="18" t="s">
        <v>138</v>
      </c>
      <c r="H86" s="17">
        <f>ROUND((agi+ins)-gab,0)</f>
        <v>10</v>
      </c>
      <c r="I86" s="18" t="s">
        <v>138</v>
      </c>
      <c r="J86" s="17">
        <f>H86+F86+(D86*10)</f>
        <v>10</v>
      </c>
      <c r="K86" s="20"/>
      <c r="L86" s="20"/>
    </row>
    <row r="87" spans="1:12" ht="12.75" customHeight="1">
      <c r="A87" s="20"/>
      <c r="B87" s="33" t="s">
        <v>212</v>
      </c>
      <c r="C87" s="20"/>
      <c r="D87" s="38"/>
      <c r="E87" s="18" t="s">
        <v>138</v>
      </c>
      <c r="F87" s="34">
        <f ca="1">IF(D87&lt;&gt;0,ROUND(RAND()*(10-1)+1,0),)</f>
        <v>0</v>
      </c>
      <c r="G87" s="18" t="s">
        <v>138</v>
      </c>
      <c r="H87" s="17">
        <f>ROUND((agi+ins)-gab,0)</f>
        <v>10</v>
      </c>
      <c r="I87" s="18" t="s">
        <v>138</v>
      </c>
      <c r="J87" s="17">
        <f>H87+F87+(D87*10)</f>
        <v>10</v>
      </c>
      <c r="K87" s="20"/>
      <c r="L87" s="20"/>
    </row>
    <row r="88" spans="1:12" ht="12.75" customHeight="1">
      <c r="A88" s="20"/>
      <c r="B88" s="33" t="s">
        <v>42</v>
      </c>
      <c r="C88" s="20"/>
      <c r="D88" s="38"/>
      <c r="E88" s="18" t="s">
        <v>138</v>
      </c>
      <c r="F88" s="34">
        <f ca="1">IF(D88&lt;&gt;0,ROUND(RAND()*(10-1)+1,0),)</f>
        <v>0</v>
      </c>
      <c r="G88" s="18" t="s">
        <v>138</v>
      </c>
      <c r="H88" s="17">
        <f>ROUND((agi+ins)-gab,0)</f>
        <v>10</v>
      </c>
      <c r="I88" s="18" t="s">
        <v>138</v>
      </c>
      <c r="J88" s="17">
        <f>H88+F88+(D88*10)</f>
        <v>10</v>
      </c>
      <c r="K88" s="20"/>
      <c r="L88" s="20"/>
    </row>
    <row r="89" spans="1:12" ht="12.75" customHeight="1">
      <c r="A89" s="20"/>
      <c r="B89" s="33" t="s">
        <v>213</v>
      </c>
      <c r="C89" s="20"/>
      <c r="D89" s="38"/>
      <c r="E89" s="18" t="s">
        <v>138</v>
      </c>
      <c r="F89" s="34">
        <f ca="1">IF(D89&lt;&gt;0,ROUND(RAND()*(10-1)+1,0),)</f>
        <v>0</v>
      </c>
      <c r="G89" s="18" t="s">
        <v>138</v>
      </c>
      <c r="H89" s="17">
        <f>ROUND((agi+ins)-gab,0)</f>
        <v>10</v>
      </c>
      <c r="I89" s="18" t="s">
        <v>138</v>
      </c>
      <c r="J89" s="17">
        <f>H89+F89+(D89*10)</f>
        <v>10</v>
      </c>
      <c r="K89" s="20"/>
      <c r="L89" s="20"/>
    </row>
    <row r="90" spans="1:12" ht="20.25" customHeight="1">
      <c r="A90" s="20"/>
      <c r="B90" s="32" t="s">
        <v>221</v>
      </c>
      <c r="C90" s="20"/>
      <c r="D90" s="34"/>
      <c r="E90" s="34"/>
      <c r="F90" s="34"/>
      <c r="K90" s="20"/>
      <c r="L90" s="20"/>
    </row>
    <row r="91" spans="1:12" ht="12.75" customHeight="1">
      <c r="A91" s="20"/>
      <c r="B91" s="33" t="s">
        <v>214</v>
      </c>
      <c r="C91" s="20"/>
      <c r="D91" s="38"/>
      <c r="E91" s="18" t="s">
        <v>138</v>
      </c>
      <c r="F91" s="34">
        <f ca="1">IF(D91&lt;&gt;0,ROUND(RAND()*(10-1)+1,0),)</f>
        <v>0</v>
      </c>
      <c r="G91" s="18" t="s">
        <v>138</v>
      </c>
      <c r="H91" s="17">
        <f>ROUND((cha+ins+vol)/3,0)+(charme*5)+(six*5)</f>
        <v>10</v>
      </c>
      <c r="I91" s="18" t="s">
        <v>138</v>
      </c>
      <c r="J91" s="17">
        <f>H91+F91+(D91*10)</f>
        <v>10</v>
      </c>
      <c r="K91" s="20"/>
      <c r="L91" s="20"/>
    </row>
    <row r="92" spans="1:12" ht="12.75" customHeight="1">
      <c r="A92" s="20"/>
      <c r="B92" s="33" t="s">
        <v>215</v>
      </c>
      <c r="C92" s="20"/>
      <c r="D92" s="38"/>
      <c r="E92" s="18" t="s">
        <v>138</v>
      </c>
      <c r="F92" s="34">
        <f aca="true" ca="1" t="shared" si="12" ref="F92:F100">IF(D92&lt;&gt;0,ROUND(RAND()*(10-1)+1,0),)</f>
        <v>0</v>
      </c>
      <c r="G92" s="18" t="s">
        <v>138</v>
      </c>
      <c r="H92" s="17">
        <f aca="true" t="shared" si="13" ref="H92:H100">ROUND((cha+ins+vol)/3,0)+(charme*5)</f>
        <v>10</v>
      </c>
      <c r="I92" s="18" t="s">
        <v>138</v>
      </c>
      <c r="J92" s="17">
        <f aca="true" t="shared" si="14" ref="J92:J100">H92+F92+(D92*10)</f>
        <v>10</v>
      </c>
      <c r="K92" s="20"/>
      <c r="L92" s="20"/>
    </row>
    <row r="93" spans="1:12" ht="12.75" customHeight="1">
      <c r="A93" s="20"/>
      <c r="B93" s="33" t="s">
        <v>216</v>
      </c>
      <c r="C93" s="20"/>
      <c r="D93" s="38"/>
      <c r="E93" s="18" t="s">
        <v>138</v>
      </c>
      <c r="F93" s="34">
        <f ca="1" t="shared" si="12"/>
        <v>0</v>
      </c>
      <c r="G93" s="18" t="s">
        <v>138</v>
      </c>
      <c r="H93" s="17">
        <f t="shared" si="13"/>
        <v>10</v>
      </c>
      <c r="I93" s="18" t="s">
        <v>138</v>
      </c>
      <c r="J93" s="17">
        <f t="shared" si="14"/>
        <v>10</v>
      </c>
      <c r="K93" s="20"/>
      <c r="L93" s="20"/>
    </row>
    <row r="94" spans="1:12" ht="12.75" customHeight="1">
      <c r="A94" s="20"/>
      <c r="B94" s="33" t="s">
        <v>217</v>
      </c>
      <c r="C94" s="20"/>
      <c r="D94" s="38"/>
      <c r="E94" s="18" t="s">
        <v>138</v>
      </c>
      <c r="F94" s="34">
        <f ca="1" t="shared" si="12"/>
        <v>0</v>
      </c>
      <c r="G94" s="18" t="s">
        <v>138</v>
      </c>
      <c r="H94" s="17">
        <f t="shared" si="13"/>
        <v>10</v>
      </c>
      <c r="I94" s="18" t="s">
        <v>138</v>
      </c>
      <c r="J94" s="17">
        <f t="shared" si="14"/>
        <v>10</v>
      </c>
      <c r="K94" s="20"/>
      <c r="L94" s="20"/>
    </row>
    <row r="95" spans="1:12" ht="12.75" customHeight="1">
      <c r="A95" s="20"/>
      <c r="B95" s="33" t="s">
        <v>218</v>
      </c>
      <c r="C95" s="20"/>
      <c r="D95" s="38"/>
      <c r="E95" s="18" t="s">
        <v>138</v>
      </c>
      <c r="F95" s="34">
        <f ca="1" t="shared" si="12"/>
        <v>0</v>
      </c>
      <c r="G95" s="18" t="s">
        <v>138</v>
      </c>
      <c r="H95" s="17">
        <f t="shared" si="13"/>
        <v>10</v>
      </c>
      <c r="I95" s="18" t="s">
        <v>138</v>
      </c>
      <c r="J95" s="17">
        <f t="shared" si="14"/>
        <v>10</v>
      </c>
      <c r="K95" s="20"/>
      <c r="L95" s="20"/>
    </row>
    <row r="96" spans="1:12" ht="12.75" customHeight="1">
      <c r="A96" s="20"/>
      <c r="B96" s="33" t="s">
        <v>219</v>
      </c>
      <c r="C96" s="20"/>
      <c r="D96" s="38"/>
      <c r="E96" s="18" t="s">
        <v>138</v>
      </c>
      <c r="F96" s="34">
        <f ca="1" t="shared" si="12"/>
        <v>0</v>
      </c>
      <c r="G96" s="18" t="s">
        <v>138</v>
      </c>
      <c r="H96" s="17">
        <f t="shared" si="13"/>
        <v>10</v>
      </c>
      <c r="I96" s="18" t="s">
        <v>138</v>
      </c>
      <c r="J96" s="17">
        <f t="shared" si="14"/>
        <v>10</v>
      </c>
      <c r="K96" s="20"/>
      <c r="L96" s="20"/>
    </row>
    <row r="97" spans="1:12" ht="12.75" customHeight="1">
      <c r="A97" s="20"/>
      <c r="B97" s="33" t="s">
        <v>220</v>
      </c>
      <c r="C97" s="20"/>
      <c r="D97" s="38"/>
      <c r="E97" s="18" t="s">
        <v>138</v>
      </c>
      <c r="F97" s="34">
        <f ca="1" t="shared" si="12"/>
        <v>0</v>
      </c>
      <c r="G97" s="18" t="s">
        <v>138</v>
      </c>
      <c r="H97" s="17">
        <f t="shared" si="13"/>
        <v>10</v>
      </c>
      <c r="I97" s="18" t="s">
        <v>138</v>
      </c>
      <c r="J97" s="17">
        <f t="shared" si="14"/>
        <v>10</v>
      </c>
      <c r="K97" s="20"/>
      <c r="L97" s="20"/>
    </row>
    <row r="98" spans="1:12" ht="12.75" customHeight="1">
      <c r="A98" s="20"/>
      <c r="B98" s="33" t="s">
        <v>222</v>
      </c>
      <c r="C98" s="20"/>
      <c r="D98" s="38"/>
      <c r="E98" s="18" t="s">
        <v>138</v>
      </c>
      <c r="F98" s="34">
        <f ca="1" t="shared" si="12"/>
        <v>0</v>
      </c>
      <c r="G98" s="18" t="s">
        <v>138</v>
      </c>
      <c r="H98" s="17">
        <f t="shared" si="13"/>
        <v>10</v>
      </c>
      <c r="I98" s="18" t="s">
        <v>138</v>
      </c>
      <c r="J98" s="17">
        <f t="shared" si="14"/>
        <v>10</v>
      </c>
      <c r="K98" s="20"/>
      <c r="L98" s="20"/>
    </row>
    <row r="99" spans="1:12" ht="12.75" customHeight="1">
      <c r="A99" s="20"/>
      <c r="B99" s="33" t="s">
        <v>223</v>
      </c>
      <c r="C99" s="20"/>
      <c r="D99" s="38"/>
      <c r="E99" s="18" t="s">
        <v>138</v>
      </c>
      <c r="F99" s="34">
        <f ca="1" t="shared" si="12"/>
        <v>0</v>
      </c>
      <c r="G99" s="18" t="s">
        <v>138</v>
      </c>
      <c r="H99" s="17">
        <f t="shared" si="13"/>
        <v>10</v>
      </c>
      <c r="I99" s="18" t="s">
        <v>138</v>
      </c>
      <c r="J99" s="17">
        <f t="shared" si="14"/>
        <v>10</v>
      </c>
      <c r="K99" s="20"/>
      <c r="L99" s="20"/>
    </row>
    <row r="100" spans="1:12" ht="12.75" customHeight="1">
      <c r="A100" s="20"/>
      <c r="B100" s="33" t="s">
        <v>224</v>
      </c>
      <c r="C100" s="20"/>
      <c r="D100" s="38"/>
      <c r="E100" s="18" t="s">
        <v>138</v>
      </c>
      <c r="F100" s="34">
        <f ca="1" t="shared" si="12"/>
        <v>0</v>
      </c>
      <c r="G100" s="18" t="s">
        <v>138</v>
      </c>
      <c r="H100" s="17">
        <f t="shared" si="13"/>
        <v>10</v>
      </c>
      <c r="I100" s="18" t="s">
        <v>138</v>
      </c>
      <c r="J100" s="17">
        <f t="shared" si="14"/>
        <v>10</v>
      </c>
      <c r="K100" s="20"/>
      <c r="L100" s="20"/>
    </row>
    <row r="101" spans="1:12" ht="20.25" customHeight="1">
      <c r="A101" s="20"/>
      <c r="B101" s="32" t="s">
        <v>229</v>
      </c>
      <c r="C101" s="20"/>
      <c r="D101" s="34"/>
      <c r="E101" s="34"/>
      <c r="F101" s="34"/>
      <c r="K101" s="20"/>
      <c r="L101" s="20"/>
    </row>
    <row r="102" spans="1:12" ht="12.75" customHeight="1">
      <c r="A102" s="20"/>
      <c r="B102" s="33" t="s">
        <v>225</v>
      </c>
      <c r="C102" s="20"/>
      <c r="D102" s="38"/>
      <c r="E102" s="18" t="s">
        <v>138</v>
      </c>
      <c r="F102" s="34">
        <f ca="1">IF(D102&lt;&gt;0,ROUND(RAND()*(10-1)+1,0),)</f>
        <v>0</v>
      </c>
      <c r="G102" s="18" t="s">
        <v>138</v>
      </c>
      <c r="H102" s="17">
        <f>int+(esprit*5)</f>
        <v>10</v>
      </c>
      <c r="I102" s="18" t="s">
        <v>138</v>
      </c>
      <c r="J102" s="17">
        <f>H102+F102+(D102*10)</f>
        <v>10</v>
      </c>
      <c r="K102" s="20"/>
      <c r="L102" s="20"/>
    </row>
    <row r="103" spans="1:12" ht="12.75" customHeight="1">
      <c r="A103" s="20"/>
      <c r="B103" s="33" t="s">
        <v>226</v>
      </c>
      <c r="C103" s="20"/>
      <c r="D103" s="38"/>
      <c r="E103" s="18" t="s">
        <v>138</v>
      </c>
      <c r="F103" s="34">
        <f ca="1">IF(D103&lt;&gt;0,ROUND(RAND()*(10-1)+1,0),)</f>
        <v>0</v>
      </c>
      <c r="G103" s="18" t="s">
        <v>138</v>
      </c>
      <c r="H103" s="17">
        <f>int+(esprit*5)</f>
        <v>10</v>
      </c>
      <c r="I103" s="18" t="s">
        <v>138</v>
      </c>
      <c r="J103" s="17">
        <f>H103+F103+(D103*10)</f>
        <v>10</v>
      </c>
      <c r="K103" s="20"/>
      <c r="L103" s="20"/>
    </row>
    <row r="104" spans="1:12" ht="12.75" customHeight="1">
      <c r="A104" s="20"/>
      <c r="B104" s="33" t="s">
        <v>227</v>
      </c>
      <c r="C104" s="20"/>
      <c r="D104" s="38"/>
      <c r="E104" s="18" t="s">
        <v>138</v>
      </c>
      <c r="F104" s="34">
        <f ca="1">IF(D104&lt;&gt;0,ROUND(RAND()*(10-1)+1,0),)</f>
        <v>0</v>
      </c>
      <c r="G104" s="18" t="s">
        <v>138</v>
      </c>
      <c r="H104" s="17">
        <f>int+(esprit*5)</f>
        <v>10</v>
      </c>
      <c r="I104" s="18" t="s">
        <v>138</v>
      </c>
      <c r="J104" s="17">
        <f>H104+F104+(D104*10)</f>
        <v>10</v>
      </c>
      <c r="K104" s="20"/>
      <c r="L104" s="20"/>
    </row>
    <row r="105" spans="1:12" ht="12.75" customHeight="1">
      <c r="A105" s="20"/>
      <c r="B105" s="33" t="s">
        <v>228</v>
      </c>
      <c r="C105" s="20"/>
      <c r="D105" s="38"/>
      <c r="E105" s="18" t="s">
        <v>138</v>
      </c>
      <c r="F105" s="34">
        <f ca="1">IF(D105&lt;&gt;0,ROUND(RAND()*(10-1)+1,0),)</f>
        <v>0</v>
      </c>
      <c r="G105" s="18" t="s">
        <v>138</v>
      </c>
      <c r="H105" s="17">
        <f>int+(esprit*5)</f>
        <v>10</v>
      </c>
      <c r="I105" s="18" t="s">
        <v>138</v>
      </c>
      <c r="J105" s="17">
        <f>H105+F105+(D105*10)</f>
        <v>10</v>
      </c>
      <c r="K105" s="20"/>
      <c r="L105" s="20"/>
    </row>
    <row r="106" spans="2:11" ht="15.75">
      <c r="B106" s="31"/>
      <c r="H106" s="44" t="s">
        <v>230</v>
      </c>
      <c r="I106" s="44"/>
      <c r="J106" s="44"/>
      <c r="K106" s="44"/>
    </row>
    <row r="107" ht="15">
      <c r="B107" s="31"/>
    </row>
    <row r="108" ht="15">
      <c r="B108" s="31"/>
    </row>
    <row r="109" ht="15">
      <c r="B109" s="31"/>
    </row>
    <row r="110" ht="15">
      <c r="B110" s="31"/>
    </row>
  </sheetData>
  <mergeCells count="2">
    <mergeCell ref="H54:K54"/>
    <mergeCell ref="H106:K10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BR113"/>
  <sheetViews>
    <sheetView workbookViewId="0" topLeftCell="A13">
      <selection activeCell="W53" sqref="W53:AR64"/>
    </sheetView>
  </sheetViews>
  <sheetFormatPr defaultColWidth="11.421875" defaultRowHeight="6" customHeight="1"/>
  <cols>
    <col min="1" max="16384" width="1.28515625" style="0" customWidth="1"/>
  </cols>
  <sheetData>
    <row r="1" spans="1:70" ht="6" customHeight="1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5"/>
      <c r="BP1" s="7"/>
      <c r="BQ1" s="7"/>
      <c r="BR1" s="7"/>
    </row>
    <row r="2" spans="1:70" ht="6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5"/>
      <c r="BP2" s="7"/>
      <c r="BQ2" s="7"/>
      <c r="BR2" s="7"/>
    </row>
    <row r="3" spans="1:70" ht="6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5"/>
      <c r="BP3" s="7"/>
      <c r="BQ3" s="7"/>
      <c r="BR3" s="7"/>
    </row>
    <row r="4" spans="1:70" ht="5.25" customHeight="1">
      <c r="A4" s="8"/>
      <c r="B4" s="8"/>
      <c r="C4" s="8"/>
      <c r="D4" s="8"/>
      <c r="E4" s="8"/>
      <c r="F4" s="8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7"/>
      <c r="BQ4" s="7"/>
      <c r="BR4" s="7"/>
    </row>
    <row r="5" spans="1:69" ht="6" customHeight="1">
      <c r="A5" s="7"/>
      <c r="B5" s="75" t="s">
        <v>28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</row>
    <row r="6" spans="1:69" ht="7.5" customHeight="1">
      <c r="A6" s="7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</row>
    <row r="7" spans="1:68" ht="6" customHeight="1">
      <c r="A7" s="9"/>
      <c r="B7" s="107" t="s">
        <v>122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9"/>
      <c r="S7" s="6"/>
      <c r="T7" s="6"/>
      <c r="U7" s="6"/>
      <c r="V7" s="6"/>
      <c r="W7" s="6"/>
      <c r="X7" s="6"/>
      <c r="Y7" s="9"/>
      <c r="Z7" s="9"/>
      <c r="AA7" s="9"/>
      <c r="AB7" s="9"/>
      <c r="AC7" s="9"/>
      <c r="AD7" s="9"/>
      <c r="AE7" s="6"/>
      <c r="AF7" s="6"/>
      <c r="AG7" s="6"/>
      <c r="AH7" s="6"/>
      <c r="AI7" s="6"/>
      <c r="AJ7" s="6"/>
      <c r="AK7" s="9"/>
      <c r="AL7" s="9"/>
      <c r="AM7" s="9"/>
      <c r="AN7" s="9"/>
      <c r="AO7" s="9"/>
      <c r="AP7" s="9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70" ht="6" customHeight="1">
      <c r="A8" s="9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9"/>
      <c r="S8" s="6"/>
      <c r="T8" s="6"/>
      <c r="U8" s="6"/>
      <c r="V8" s="6"/>
      <c r="W8" s="6"/>
      <c r="X8" s="6"/>
      <c r="Y8" s="9"/>
      <c r="Z8" s="9"/>
      <c r="AA8" s="9"/>
      <c r="AB8" s="9"/>
      <c r="AC8" s="9"/>
      <c r="AD8" s="9"/>
      <c r="AE8" s="6"/>
      <c r="AF8" s="6"/>
      <c r="AG8" s="6"/>
      <c r="AH8" s="6"/>
      <c r="AI8" s="6"/>
      <c r="AJ8" s="6"/>
      <c r="AK8" s="9"/>
      <c r="AL8" s="9"/>
      <c r="AM8" s="9"/>
      <c r="AN8" s="9"/>
      <c r="AO8" s="9"/>
      <c r="AP8" s="9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9"/>
      <c r="BR8" s="9"/>
    </row>
    <row r="9" spans="1:70" ht="6" customHeight="1">
      <c r="A9" s="9"/>
      <c r="B9" s="108" t="s">
        <v>123</v>
      </c>
      <c r="C9" s="108"/>
      <c r="D9" s="108"/>
      <c r="E9" s="108"/>
      <c r="F9" s="107">
        <f>ageprof+agesaba+16</f>
        <v>16</v>
      </c>
      <c r="G9" s="107"/>
      <c r="H9" s="107"/>
      <c r="I9" s="107"/>
      <c r="J9" s="107"/>
      <c r="K9" s="107"/>
      <c r="L9" s="107"/>
      <c r="M9" s="9"/>
      <c r="N9" s="9"/>
      <c r="O9" s="9"/>
      <c r="P9" s="9"/>
      <c r="Q9" s="9"/>
      <c r="R9" s="9"/>
      <c r="S9" s="6"/>
      <c r="T9" s="6"/>
      <c r="U9" s="6"/>
      <c r="V9" s="6"/>
      <c r="W9" s="6"/>
      <c r="X9" s="6"/>
      <c r="Y9" s="9"/>
      <c r="Z9" s="9"/>
      <c r="AA9" s="9"/>
      <c r="AB9" s="9"/>
      <c r="AC9" s="9"/>
      <c r="AD9" s="9"/>
      <c r="AE9" s="6"/>
      <c r="AF9" s="6"/>
      <c r="AG9" s="6"/>
      <c r="AH9" s="6"/>
      <c r="AI9" s="6"/>
      <c r="AJ9" s="6"/>
      <c r="AK9" s="9"/>
      <c r="AL9" s="9"/>
      <c r="AM9" s="9"/>
      <c r="AN9" s="9"/>
      <c r="AO9" s="9"/>
      <c r="AP9" s="9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9"/>
      <c r="BR9" s="9"/>
    </row>
    <row r="10" spans="1:68" ht="6" customHeight="1">
      <c r="A10" s="9"/>
      <c r="B10" s="108"/>
      <c r="C10" s="108"/>
      <c r="D10" s="108"/>
      <c r="E10" s="108"/>
      <c r="F10" s="107"/>
      <c r="G10" s="107"/>
      <c r="H10" s="107"/>
      <c r="I10" s="107"/>
      <c r="J10" s="107"/>
      <c r="K10" s="107"/>
      <c r="L10" s="10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ht="6" customHeight="1">
      <c r="A11" s="9"/>
      <c r="B11" s="9"/>
      <c r="C11" s="9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67" ht="6" customHeight="1">
      <c r="A12" s="7"/>
      <c r="B12" s="7"/>
      <c r="C12" s="7"/>
      <c r="D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30" ht="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70" ht="6" customHeight="1">
      <c r="A14" s="82" t="s">
        <v>29</v>
      </c>
      <c r="B14" s="82"/>
      <c r="C14" s="82"/>
      <c r="D14" s="82"/>
      <c r="E14" s="82"/>
      <c r="F14" s="82"/>
      <c r="G14" s="82"/>
      <c r="H14" s="82" t="s">
        <v>25</v>
      </c>
      <c r="I14" s="82"/>
      <c r="J14" s="82"/>
      <c r="K14" s="82"/>
      <c r="L14" s="82"/>
      <c r="M14" s="82"/>
      <c r="N14" s="82"/>
      <c r="O14" s="83" t="s">
        <v>30</v>
      </c>
      <c r="P14" s="83"/>
      <c r="Q14" s="83"/>
      <c r="R14" s="83"/>
      <c r="S14" s="83"/>
      <c r="T14" s="83"/>
      <c r="U14" s="83"/>
      <c r="V14" s="82" t="s">
        <v>31</v>
      </c>
      <c r="W14" s="82"/>
      <c r="X14" s="82"/>
      <c r="Y14" s="82"/>
      <c r="Z14" s="82"/>
      <c r="AA14" s="82"/>
      <c r="AB14" s="82"/>
      <c r="AC14" s="82" t="s">
        <v>32</v>
      </c>
      <c r="AD14" s="82"/>
      <c r="AE14" s="82"/>
      <c r="AF14" s="82"/>
      <c r="AG14" s="82"/>
      <c r="AH14" s="82"/>
      <c r="AI14" s="82"/>
      <c r="AJ14" s="82" t="s">
        <v>33</v>
      </c>
      <c r="AK14" s="82"/>
      <c r="AL14" s="82"/>
      <c r="AM14" s="82"/>
      <c r="AN14" s="82"/>
      <c r="AO14" s="82"/>
      <c r="AP14" s="82"/>
      <c r="AQ14" s="83" t="s">
        <v>34</v>
      </c>
      <c r="AR14" s="83"/>
      <c r="AS14" s="83"/>
      <c r="AT14" s="83"/>
      <c r="AU14" s="83"/>
      <c r="AV14" s="83"/>
      <c r="AW14" s="83"/>
      <c r="AX14" s="83" t="s">
        <v>35</v>
      </c>
      <c r="AY14" s="83"/>
      <c r="AZ14" s="83"/>
      <c r="BA14" s="83"/>
      <c r="BB14" s="83"/>
      <c r="BC14" s="83"/>
      <c r="BD14" s="83"/>
      <c r="BE14" s="82" t="s">
        <v>36</v>
      </c>
      <c r="BF14" s="82"/>
      <c r="BG14" s="82"/>
      <c r="BH14" s="82"/>
      <c r="BI14" s="82"/>
      <c r="BJ14" s="82"/>
      <c r="BK14" s="82"/>
      <c r="BL14" s="82" t="s">
        <v>37</v>
      </c>
      <c r="BM14" s="82"/>
      <c r="BN14" s="82"/>
      <c r="BO14" s="82"/>
      <c r="BP14" s="82"/>
      <c r="BQ14" s="82"/>
      <c r="BR14" s="82"/>
    </row>
    <row r="15" spans="1:70" ht="9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83"/>
      <c r="Q15" s="83"/>
      <c r="R15" s="83"/>
      <c r="S15" s="83"/>
      <c r="T15" s="83"/>
      <c r="U15" s="83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</row>
    <row r="16" spans="1:70" ht="6" customHeight="1">
      <c r="A16" s="84">
        <f>attributs!B4</f>
        <v>10</v>
      </c>
      <c r="B16" s="84"/>
      <c r="C16" s="84"/>
      <c r="D16" s="84"/>
      <c r="E16" s="84"/>
      <c r="F16" s="84"/>
      <c r="G16" s="84"/>
      <c r="H16" s="84">
        <f>attributs!B3</f>
        <v>10</v>
      </c>
      <c r="I16" s="84"/>
      <c r="J16" s="84"/>
      <c r="K16" s="84"/>
      <c r="L16" s="84"/>
      <c r="M16" s="84"/>
      <c r="N16" s="84"/>
      <c r="O16" s="84">
        <f>attributs!B5</f>
        <v>10</v>
      </c>
      <c r="P16" s="84"/>
      <c r="Q16" s="84"/>
      <c r="R16" s="84"/>
      <c r="S16" s="84"/>
      <c r="T16" s="84"/>
      <c r="U16" s="84"/>
      <c r="V16" s="84">
        <f>attributs!B6</f>
        <v>10</v>
      </c>
      <c r="W16" s="84"/>
      <c r="X16" s="84"/>
      <c r="Y16" s="84"/>
      <c r="Z16" s="84"/>
      <c r="AA16" s="84"/>
      <c r="AB16" s="84"/>
      <c r="AC16" s="84">
        <f>rap</f>
        <v>10</v>
      </c>
      <c r="AD16" s="84"/>
      <c r="AE16" s="84"/>
      <c r="AF16" s="84"/>
      <c r="AG16" s="84"/>
      <c r="AH16" s="84"/>
      <c r="AI16" s="84"/>
      <c r="AJ16" s="84">
        <f>cha</f>
        <v>10</v>
      </c>
      <c r="AK16" s="84"/>
      <c r="AL16" s="84"/>
      <c r="AM16" s="84"/>
      <c r="AN16" s="84"/>
      <c r="AO16" s="84"/>
      <c r="AP16" s="84"/>
      <c r="AQ16" s="84">
        <f>sgf</f>
        <v>10</v>
      </c>
      <c r="AR16" s="84"/>
      <c r="AS16" s="84"/>
      <c r="AT16" s="84"/>
      <c r="AU16" s="84"/>
      <c r="AV16" s="84"/>
      <c r="AW16" s="84"/>
      <c r="AX16" s="84">
        <f>int</f>
        <v>10</v>
      </c>
      <c r="AY16" s="84"/>
      <c r="AZ16" s="84"/>
      <c r="BA16" s="84"/>
      <c r="BB16" s="84"/>
      <c r="BC16" s="84"/>
      <c r="BD16" s="84"/>
      <c r="BE16" s="84">
        <f>vol</f>
        <v>10</v>
      </c>
      <c r="BF16" s="84"/>
      <c r="BG16" s="84"/>
      <c r="BH16" s="84"/>
      <c r="BI16" s="84"/>
      <c r="BJ16" s="84"/>
      <c r="BK16" s="84"/>
      <c r="BL16" s="84">
        <f>ins</f>
        <v>10</v>
      </c>
      <c r="BM16" s="84"/>
      <c r="BN16" s="84"/>
      <c r="BO16" s="84"/>
      <c r="BP16" s="84"/>
      <c r="BQ16" s="84"/>
      <c r="BR16" s="84"/>
    </row>
    <row r="17" spans="1:70" ht="10.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</row>
    <row r="18" spans="1:30" ht="6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67" ht="6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</row>
    <row r="20" spans="1:70" ht="6" customHeight="1">
      <c r="A20" s="7"/>
      <c r="B20" s="76" t="s">
        <v>38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</row>
    <row r="21" spans="1:70" ht="6" customHeight="1">
      <c r="A21" s="7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</row>
    <row r="22" spans="1:70" ht="6" customHeight="1">
      <c r="A22" s="7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</row>
    <row r="23" spans="1:69" ht="6" customHeight="1">
      <c r="A23" s="7"/>
      <c r="B23" s="49" t="s">
        <v>39</v>
      </c>
      <c r="C23" s="49"/>
      <c r="D23" s="49"/>
      <c r="E23" s="49"/>
      <c r="F23" s="49"/>
      <c r="G23" s="49"/>
      <c r="H23" s="49"/>
      <c r="I23" s="49"/>
      <c r="J23" s="49"/>
      <c r="K23" s="49"/>
      <c r="L23" s="77">
        <f>ROUND((int+vol+sgf+ins)/8,0)</f>
        <v>5</v>
      </c>
      <c r="M23" s="77"/>
      <c r="N23" s="77"/>
      <c r="O23" s="77"/>
      <c r="P23" s="7"/>
      <c r="Q23" s="7"/>
      <c r="R23" s="49" t="s">
        <v>42</v>
      </c>
      <c r="S23" s="49"/>
      <c r="T23" s="49"/>
      <c r="U23" s="49"/>
      <c r="V23" s="49"/>
      <c r="W23" s="49"/>
      <c r="X23" s="49"/>
      <c r="Y23" s="49"/>
      <c r="Z23" s="49"/>
      <c r="AA23" s="49"/>
      <c r="AB23" s="77">
        <f>(for+agi)-gab</f>
        <v>10</v>
      </c>
      <c r="AC23" s="77"/>
      <c r="AD23" s="77"/>
      <c r="AE23" s="77"/>
      <c r="AH23" s="49" t="s">
        <v>45</v>
      </c>
      <c r="AI23" s="49"/>
      <c r="AJ23" s="49"/>
      <c r="AK23" s="49"/>
      <c r="AL23" s="49"/>
      <c r="AM23" s="49"/>
      <c r="AN23" s="49"/>
      <c r="AO23" s="49"/>
      <c r="AP23" s="49"/>
      <c r="AQ23" s="49"/>
      <c r="AR23" s="79">
        <f>ROUND((for+agi+gab)/3,0)</f>
        <v>10</v>
      </c>
      <c r="AS23" s="79"/>
      <c r="AT23" s="79"/>
      <c r="AU23" s="79"/>
      <c r="AX23" s="80" t="s">
        <v>48</v>
      </c>
      <c r="AY23" s="80"/>
      <c r="AZ23" s="80"/>
      <c r="BA23" s="80"/>
      <c r="BB23" s="80"/>
      <c r="BC23" s="80"/>
      <c r="BD23" s="80"/>
      <c r="BE23" s="80"/>
      <c r="BF23" s="80"/>
      <c r="BG23" s="80"/>
      <c r="BH23" s="77">
        <f>for*2</f>
        <v>20</v>
      </c>
      <c r="BI23" s="77"/>
      <c r="BJ23" s="77"/>
      <c r="BK23" s="77"/>
      <c r="BM23" s="86" t="s">
        <v>15</v>
      </c>
      <c r="BN23" s="87"/>
      <c r="BO23" s="87"/>
      <c r="BP23" s="87"/>
      <c r="BQ23" s="88"/>
    </row>
    <row r="24" spans="1:69" ht="6" customHeight="1">
      <c r="A24" s="7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78"/>
      <c r="M24" s="78"/>
      <c r="N24" s="78"/>
      <c r="O24" s="78"/>
      <c r="P24" s="7"/>
      <c r="Q24" s="7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78"/>
      <c r="AC24" s="78"/>
      <c r="AD24" s="78"/>
      <c r="AE24" s="78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78"/>
      <c r="AS24" s="78"/>
      <c r="AT24" s="78"/>
      <c r="AU24" s="78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78"/>
      <c r="BI24" s="78"/>
      <c r="BJ24" s="78"/>
      <c r="BK24" s="78"/>
      <c r="BM24" s="89"/>
      <c r="BN24" s="90"/>
      <c r="BO24" s="90"/>
      <c r="BP24" s="90"/>
      <c r="BQ24" s="91"/>
    </row>
    <row r="25" spans="1:69" ht="6" customHeight="1">
      <c r="A25" s="7"/>
      <c r="B25" s="85" t="s">
        <v>40</v>
      </c>
      <c r="C25" s="85"/>
      <c r="D25" s="85"/>
      <c r="E25" s="85"/>
      <c r="F25" s="85"/>
      <c r="G25" s="85"/>
      <c r="H25" s="85"/>
      <c r="I25" s="85"/>
      <c r="J25" s="85"/>
      <c r="K25" s="85"/>
      <c r="L25" s="79">
        <f>INDEX(bondmg,for+(gab/2),2)</f>
        <v>0</v>
      </c>
      <c r="M25" s="79"/>
      <c r="N25" s="79"/>
      <c r="O25" s="79"/>
      <c r="P25" s="7"/>
      <c r="Q25" s="7"/>
      <c r="R25" s="49" t="s">
        <v>43</v>
      </c>
      <c r="S25" s="49"/>
      <c r="T25" s="49"/>
      <c r="U25" s="49"/>
      <c r="V25" s="49"/>
      <c r="W25" s="49"/>
      <c r="X25" s="49"/>
      <c r="Y25" s="49"/>
      <c r="Z25" s="49"/>
      <c r="AA25" s="49"/>
      <c r="AB25" s="79">
        <f>ROUND((for+res+vol)/3,0)+incre</f>
        <v>10</v>
      </c>
      <c r="AC25" s="79"/>
      <c r="AD25" s="79"/>
      <c r="AE25" s="79"/>
      <c r="AH25" s="49" t="s">
        <v>46</v>
      </c>
      <c r="AI25" s="49"/>
      <c r="AJ25" s="49"/>
      <c r="AK25" s="49"/>
      <c r="AL25" s="49"/>
      <c r="AM25" s="49"/>
      <c r="AN25" s="49"/>
      <c r="AO25" s="49"/>
      <c r="AP25" s="49"/>
      <c r="AQ25" s="49"/>
      <c r="AR25" s="79">
        <f>for+rap-gab</f>
        <v>10</v>
      </c>
      <c r="AS25" s="79"/>
      <c r="AT25" s="79"/>
      <c r="AU25" s="79"/>
      <c r="AX25" s="49" t="s">
        <v>49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79">
        <f>ROUND((sgf+rap)/4,0)+rapid</f>
        <v>5</v>
      </c>
      <c r="BI25" s="79"/>
      <c r="BJ25" s="79"/>
      <c r="BK25" s="79"/>
      <c r="BM25" s="92"/>
      <c r="BN25" s="93"/>
      <c r="BO25" s="93"/>
      <c r="BP25" s="93"/>
      <c r="BQ25" s="94"/>
    </row>
    <row r="26" spans="1:69" ht="6" customHeight="1">
      <c r="A26" s="7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78"/>
      <c r="M26" s="78"/>
      <c r="N26" s="78"/>
      <c r="O26" s="78"/>
      <c r="P26" s="7"/>
      <c r="Q26" s="7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78"/>
      <c r="AC26" s="78"/>
      <c r="AD26" s="78"/>
      <c r="AE26" s="78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78"/>
      <c r="AS26" s="78"/>
      <c r="AT26" s="78"/>
      <c r="AU26" s="78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78"/>
      <c r="BI26" s="78"/>
      <c r="BJ26" s="78"/>
      <c r="BK26" s="78"/>
      <c r="BM26" s="95">
        <f>luk/100</f>
        <v>0.5</v>
      </c>
      <c r="BN26" s="96"/>
      <c r="BO26" s="96"/>
      <c r="BP26" s="96"/>
      <c r="BQ26" s="97"/>
    </row>
    <row r="27" spans="1:69" ht="6" customHeight="1">
      <c r="A27" s="7"/>
      <c r="B27" s="48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79">
        <f>(for+rap)-gab</f>
        <v>10</v>
      </c>
      <c r="M27" s="79"/>
      <c r="N27" s="79"/>
      <c r="O27" s="79"/>
      <c r="P27" s="7"/>
      <c r="Q27" s="7"/>
      <c r="R27" s="48" t="s">
        <v>44</v>
      </c>
      <c r="S27" s="48"/>
      <c r="T27" s="48"/>
      <c r="U27" s="48"/>
      <c r="V27" s="48"/>
      <c r="W27" s="48"/>
      <c r="X27" s="48"/>
      <c r="Y27" s="48"/>
      <c r="Z27" s="48"/>
      <c r="AA27" s="48"/>
      <c r="AB27" s="79">
        <f>for</f>
        <v>10</v>
      </c>
      <c r="AC27" s="79"/>
      <c r="AD27" s="79"/>
      <c r="AE27" s="79"/>
      <c r="AH27" s="109" t="s">
        <v>47</v>
      </c>
      <c r="AI27" s="109"/>
      <c r="AJ27" s="109"/>
      <c r="AK27" s="109"/>
      <c r="AL27" s="109"/>
      <c r="AM27" s="109"/>
      <c r="AN27" s="109"/>
      <c r="AO27" s="109"/>
      <c r="AP27" s="109"/>
      <c r="AQ27" s="109"/>
      <c r="AR27" s="79">
        <f>SUM(ROUND((int+ins)/2,0),obs,ecout,sent,dang,(six*5),(visio*5))</f>
        <v>10</v>
      </c>
      <c r="AS27" s="79"/>
      <c r="AT27" s="79"/>
      <c r="AU27" s="79"/>
      <c r="AX27" s="48" t="s">
        <v>50</v>
      </c>
      <c r="AY27" s="48"/>
      <c r="AZ27" s="48"/>
      <c r="BA27" s="48"/>
      <c r="BB27" s="48"/>
      <c r="BC27" s="48"/>
      <c r="BD27" s="48"/>
      <c r="BE27" s="48"/>
      <c r="BF27" s="48"/>
      <c r="BG27" s="48"/>
      <c r="BH27" s="79">
        <f>for+agi-gab</f>
        <v>10</v>
      </c>
      <c r="BI27" s="79"/>
      <c r="BJ27" s="79"/>
      <c r="BK27" s="79"/>
      <c r="BM27" s="98"/>
      <c r="BN27" s="99"/>
      <c r="BO27" s="99"/>
      <c r="BP27" s="99"/>
      <c r="BQ27" s="100"/>
    </row>
    <row r="28" spans="1:69" ht="6" customHeight="1">
      <c r="A28" s="7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78"/>
      <c r="M28" s="78"/>
      <c r="N28" s="78"/>
      <c r="O28" s="78"/>
      <c r="P28" s="7"/>
      <c r="Q28" s="7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78"/>
      <c r="AC28" s="78"/>
      <c r="AD28" s="78"/>
      <c r="AE28" s="78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78"/>
      <c r="AS28" s="78"/>
      <c r="AT28" s="78"/>
      <c r="AU28" s="78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78"/>
      <c r="BI28" s="78"/>
      <c r="BJ28" s="78"/>
      <c r="BK28" s="78"/>
      <c r="BM28" s="101"/>
      <c r="BN28" s="102"/>
      <c r="BO28" s="102"/>
      <c r="BP28" s="102"/>
      <c r="BQ28" s="103"/>
    </row>
    <row r="29" spans="1:30" ht="6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6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67" ht="6" customHeight="1">
      <c r="A31" s="7"/>
      <c r="B31" s="7"/>
      <c r="C31" s="7"/>
      <c r="D31" s="7"/>
      <c r="E31" s="7"/>
      <c r="F31" s="70" t="str">
        <f ca="1">"Dossier    "&amp;ROUND(RAND()*26,0)&amp;ROUND(RAND()*26,0)&amp;ROUND(RAND()*26,0)&amp;ROUND(RAND()*26,0)&amp;ROUND(RAND()*26,0)&amp;ROUND(RAND()*26,0)&amp;ROUND(RAND()*26,0)&amp;"-"&amp;ROUND(RAND()*26,0)&amp;ROUND(RAND()*26,0)&amp;ROUND(RAND()*26,0)&amp;ROUND(RAND()*26,0)</f>
        <v>Dossier    217141151511-8201623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6" customHeight="1">
      <c r="A32" s="7"/>
      <c r="B32" s="7"/>
      <c r="C32" s="7"/>
      <c r="D32" s="7"/>
      <c r="E32" s="7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</row>
    <row r="33" spans="1:67" ht="6" customHeight="1">
      <c r="A33" s="7"/>
      <c r="B33" s="7"/>
      <c r="C33" s="7"/>
      <c r="D33" s="7"/>
      <c r="E33" s="7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67" ht="6" customHeight="1">
      <c r="A34" s="7"/>
      <c r="B34" s="7"/>
      <c r="C34" s="7"/>
      <c r="D34" s="7"/>
      <c r="E34" s="7"/>
      <c r="P34" s="71" t="s">
        <v>133</v>
      </c>
      <c r="Q34" s="71"/>
      <c r="R34" s="71"/>
      <c r="S34" s="71"/>
      <c r="T34" s="71"/>
      <c r="U34" s="71"/>
      <c r="V34" s="71"/>
      <c r="W34" s="71"/>
      <c r="X34" s="71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ht="6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1"/>
      <c r="Q35" s="71"/>
      <c r="R35" s="71"/>
      <c r="S35" s="71"/>
      <c r="T35" s="71"/>
      <c r="U35" s="71"/>
      <c r="V35" s="71"/>
      <c r="W35" s="71"/>
      <c r="X35" s="71"/>
      <c r="Y35" s="7"/>
      <c r="Z35" s="7"/>
      <c r="AA35" s="7"/>
      <c r="AB35" s="7"/>
      <c r="AC35" s="7"/>
      <c r="AD35" s="7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</row>
    <row r="36" spans="1:67" ht="6" customHeight="1">
      <c r="A36" s="7"/>
      <c r="B36" s="71" t="s">
        <v>127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41"/>
      <c r="O36" s="63" t="s">
        <v>128</v>
      </c>
      <c r="P36" s="63"/>
      <c r="Q36" s="63"/>
      <c r="R36" s="63"/>
      <c r="S36" s="63"/>
      <c r="T36" s="63"/>
      <c r="U36" s="62" t="s">
        <v>129</v>
      </c>
      <c r="V36" s="63"/>
      <c r="W36" s="63"/>
      <c r="X36" s="63"/>
      <c r="Y36" s="63"/>
      <c r="Z36" s="63"/>
      <c r="AA36" s="62" t="s">
        <v>130</v>
      </c>
      <c r="AB36" s="63"/>
      <c r="AC36" s="63"/>
      <c r="AD36" s="63"/>
      <c r="AE36" s="63"/>
      <c r="AF36" s="63"/>
      <c r="AG36" s="62" t="s">
        <v>131</v>
      </c>
      <c r="AH36" s="63"/>
      <c r="AI36" s="63"/>
      <c r="AJ36" s="63"/>
      <c r="AK36" s="63"/>
      <c r="AL36" s="63"/>
      <c r="AM36" s="66" t="s">
        <v>132</v>
      </c>
      <c r="AN36" s="67"/>
      <c r="AO36" s="67"/>
      <c r="AP36" s="67"/>
      <c r="AQ36" s="67"/>
      <c r="AR36" s="67"/>
      <c r="AS36" s="67"/>
      <c r="AT36" s="67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t="6" customHeight="1">
      <c r="A37" s="7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41"/>
      <c r="O37" s="63"/>
      <c r="P37" s="63"/>
      <c r="Q37" s="63"/>
      <c r="R37" s="63"/>
      <c r="S37" s="63"/>
      <c r="T37" s="63"/>
      <c r="U37" s="62"/>
      <c r="V37" s="63"/>
      <c r="W37" s="63"/>
      <c r="X37" s="63"/>
      <c r="Y37" s="63"/>
      <c r="Z37" s="63"/>
      <c r="AA37" s="62"/>
      <c r="AB37" s="63"/>
      <c r="AC37" s="63"/>
      <c r="AD37" s="63"/>
      <c r="AE37" s="63"/>
      <c r="AF37" s="63"/>
      <c r="AG37" s="62"/>
      <c r="AH37" s="63"/>
      <c r="AI37" s="63"/>
      <c r="AJ37" s="63"/>
      <c r="AK37" s="63"/>
      <c r="AL37" s="63"/>
      <c r="AM37" s="66"/>
      <c r="AN37" s="67"/>
      <c r="AO37" s="67"/>
      <c r="AP37" s="67"/>
      <c r="AQ37" s="67"/>
      <c r="AR37" s="67"/>
      <c r="AS37" s="67"/>
      <c r="AT37" s="67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</row>
    <row r="38" spans="1:67" ht="6" customHeight="1">
      <c r="A38" s="7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65"/>
      <c r="P38" s="65"/>
      <c r="Q38" s="65"/>
      <c r="R38" s="65"/>
      <c r="S38" s="65"/>
      <c r="T38" s="65"/>
      <c r="U38" s="64"/>
      <c r="V38" s="65"/>
      <c r="W38" s="65"/>
      <c r="X38" s="65"/>
      <c r="Y38" s="65"/>
      <c r="Z38" s="65"/>
      <c r="AA38" s="64"/>
      <c r="AB38" s="65"/>
      <c r="AC38" s="65"/>
      <c r="AD38" s="65"/>
      <c r="AE38" s="65"/>
      <c r="AF38" s="65"/>
      <c r="AG38" s="64"/>
      <c r="AH38" s="65"/>
      <c r="AI38" s="65"/>
      <c r="AJ38" s="65"/>
      <c r="AK38" s="65"/>
      <c r="AL38" s="65"/>
      <c r="AM38" s="68"/>
      <c r="AN38" s="69"/>
      <c r="AO38" s="69"/>
      <c r="AP38" s="69"/>
      <c r="AQ38" s="69"/>
      <c r="AR38" s="69"/>
      <c r="AS38" s="69"/>
      <c r="AT38" s="69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  <row r="39" spans="1:67" ht="6" customHeight="1">
      <c r="A39" s="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9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6"/>
      <c r="AN39" s="56"/>
      <c r="AO39" s="56"/>
      <c r="AP39" s="56"/>
      <c r="AQ39" s="56"/>
      <c r="AR39" s="56"/>
      <c r="AS39" s="56"/>
      <c r="AT39" s="56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1:67" ht="6" customHeight="1">
      <c r="A40" s="7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60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7"/>
      <c r="AN40" s="57"/>
      <c r="AO40" s="57"/>
      <c r="AP40" s="57"/>
      <c r="AQ40" s="57"/>
      <c r="AR40" s="57"/>
      <c r="AS40" s="57"/>
      <c r="AT40" s="57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</row>
    <row r="41" spans="1:67" ht="6" customHeight="1">
      <c r="A41" s="7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61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8"/>
      <c r="AN41" s="58"/>
      <c r="AO41" s="58"/>
      <c r="AP41" s="58"/>
      <c r="AQ41" s="58"/>
      <c r="AR41" s="58"/>
      <c r="AS41" s="58"/>
      <c r="AT41" s="58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</row>
    <row r="42" spans="1:67" ht="6" customHeight="1">
      <c r="A42" s="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9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6"/>
      <c r="AN42" s="56"/>
      <c r="AO42" s="56"/>
      <c r="AP42" s="56"/>
      <c r="AQ42" s="56"/>
      <c r="AR42" s="56"/>
      <c r="AS42" s="56"/>
      <c r="AT42" s="56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</row>
    <row r="43" spans="1:67" ht="6" customHeight="1">
      <c r="A43" s="7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60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7"/>
      <c r="AN43" s="57"/>
      <c r="AO43" s="57"/>
      <c r="AP43" s="57"/>
      <c r="AQ43" s="57"/>
      <c r="AR43" s="57"/>
      <c r="AS43" s="57"/>
      <c r="AT43" s="57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</row>
    <row r="44" spans="1:67" ht="6" customHeight="1">
      <c r="A44" s="7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61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8"/>
      <c r="AN44" s="58"/>
      <c r="AO44" s="58"/>
      <c r="AP44" s="58"/>
      <c r="AQ44" s="58"/>
      <c r="AR44" s="58"/>
      <c r="AS44" s="58"/>
      <c r="AT44" s="58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</row>
    <row r="45" spans="1:67" ht="6" customHeight="1">
      <c r="A45" s="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9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6"/>
      <c r="AN45" s="56"/>
      <c r="AO45" s="56"/>
      <c r="AP45" s="56"/>
      <c r="AQ45" s="56"/>
      <c r="AR45" s="56"/>
      <c r="AS45" s="56"/>
      <c r="AT45" s="56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</row>
    <row r="46" spans="1:67" ht="6" customHeight="1">
      <c r="A46" s="7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60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7"/>
      <c r="AN46" s="57"/>
      <c r="AO46" s="57"/>
      <c r="AP46" s="57"/>
      <c r="AQ46" s="57"/>
      <c r="AR46" s="57"/>
      <c r="AS46" s="57"/>
      <c r="AT46" s="57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67" ht="6" customHeight="1">
      <c r="A47" s="7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61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8"/>
      <c r="AN47" s="58"/>
      <c r="AO47" s="58"/>
      <c r="AP47" s="58"/>
      <c r="AQ47" s="58"/>
      <c r="AR47" s="58"/>
      <c r="AS47" s="58"/>
      <c r="AT47" s="58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</row>
    <row r="48" spans="1:67" ht="6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</row>
    <row r="49" spans="1:67" ht="6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1:67" ht="6" customHeight="1">
      <c r="A50" s="7"/>
      <c r="B50" s="46" t="s">
        <v>134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7"/>
      <c r="V50" s="7"/>
      <c r="W50" s="46" t="s">
        <v>135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ht="6" customHeight="1">
      <c r="A51" s="7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7"/>
      <c r="V51" s="7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1:67" ht="6" customHeight="1">
      <c r="A52" s="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7"/>
      <c r="V52" s="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</row>
    <row r="53" spans="1:67" ht="6" customHeight="1">
      <c r="A53" s="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7"/>
      <c r="V53" s="7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</row>
    <row r="54" spans="1:67" ht="6" customHeight="1">
      <c r="A54" s="7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7"/>
      <c r="V54" s="7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</row>
    <row r="55" spans="1:67" ht="6" customHeight="1">
      <c r="A55" s="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7"/>
      <c r="V55" s="7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</row>
    <row r="56" spans="1:67" ht="6" customHeight="1">
      <c r="A56" s="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7"/>
      <c r="V56" s="7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</row>
    <row r="57" spans="1:67" ht="6" customHeight="1">
      <c r="A57" s="7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7"/>
      <c r="V57" s="7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</row>
    <row r="58" spans="1:67" ht="6" customHeight="1">
      <c r="A58" s="7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7"/>
      <c r="V58" s="7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1:67" ht="6" customHeight="1">
      <c r="A59" s="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7"/>
      <c r="V59" s="7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</row>
    <row r="60" spans="1:67" ht="6" customHeight="1">
      <c r="A60" s="7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7"/>
      <c r="V60" s="7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</row>
    <row r="61" spans="1:67" ht="6" customHeight="1">
      <c r="A61" s="7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7"/>
      <c r="V61" s="7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</row>
    <row r="62" spans="1:67" ht="6" customHeight="1">
      <c r="A62" s="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7"/>
      <c r="V62" s="7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</row>
    <row r="63" spans="1:67" ht="6" customHeight="1">
      <c r="A63" s="7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7"/>
      <c r="V63" s="7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</row>
    <row r="64" spans="1:67" ht="6" customHeight="1">
      <c r="A64" s="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7"/>
      <c r="V64" s="7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1:67" ht="6" customHeight="1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7"/>
      <c r="V65" s="7"/>
      <c r="W65" s="7"/>
      <c r="X65" s="7"/>
      <c r="Y65" s="7"/>
      <c r="Z65" s="7"/>
      <c r="AA65" s="7"/>
      <c r="AB65" s="7"/>
      <c r="AC65" s="7"/>
      <c r="AD65" s="7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</row>
    <row r="66" spans="1:67" ht="6" customHeight="1">
      <c r="A66" s="7"/>
      <c r="B66" s="9"/>
      <c r="C66" s="51" t="s">
        <v>136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</row>
    <row r="67" spans="1:67" ht="6" customHeight="1">
      <c r="A67" s="7"/>
      <c r="B67" s="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</row>
    <row r="68" spans="3:67" ht="6" customHeight="1">
      <c r="C68" s="45" t="str">
        <f>Talents!$E$1</f>
        <v>                                                                                  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</row>
    <row r="69" spans="3:67" ht="6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</row>
    <row r="70" spans="3:67" ht="6" customHeight="1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</row>
    <row r="71" spans="3:67" ht="6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</row>
    <row r="72" spans="3:67" ht="6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</row>
    <row r="73" spans="50:67" ht="6" customHeight="1"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</row>
    <row r="74" spans="50:67" ht="6" customHeight="1"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</row>
    <row r="75" spans="50:67" ht="6" customHeight="1"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</row>
    <row r="76" spans="50:67" ht="6" customHeight="1"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</row>
    <row r="77" spans="50:67" ht="6" customHeight="1"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</row>
    <row r="79" spans="3:20" ht="6" customHeight="1">
      <c r="C79" s="104" t="s">
        <v>111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</row>
    <row r="80" spans="3:20" ht="6" customHeight="1"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</row>
    <row r="82" spans="2:20" ht="6" customHeight="1">
      <c r="B82" s="104" t="s">
        <v>112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6"/>
      <c r="R82" s="105" t="str">
        <f>"("&amp;ROUND((res+gab+vol)/4,0)+(seuil*2)&amp;")"</f>
        <v>(8)</v>
      </c>
      <c r="S82" s="105"/>
      <c r="T82" s="105"/>
    </row>
    <row r="83" spans="2:20" ht="6" customHeight="1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6"/>
      <c r="R83" s="105"/>
      <c r="S83" s="105"/>
      <c r="T83" s="105"/>
    </row>
    <row r="89" spans="1:20" ht="6" customHeight="1">
      <c r="A89" s="45" t="s">
        <v>113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 t="str">
        <f>"("&amp;ROUND((res+gab+vol)/6,0+(seuil*2))&amp;")"</f>
        <v>(5)</v>
      </c>
      <c r="O89" s="105"/>
      <c r="P89" s="105"/>
      <c r="Q89" s="106" t="s">
        <v>114</v>
      </c>
      <c r="R89" s="106"/>
      <c r="S89" s="106"/>
      <c r="T89" s="106"/>
    </row>
    <row r="90" spans="1:20" ht="6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105"/>
      <c r="O90" s="105"/>
      <c r="P90" s="105"/>
      <c r="Q90" s="106"/>
      <c r="R90" s="106"/>
      <c r="S90" s="106"/>
      <c r="T90" s="106"/>
    </row>
    <row r="94" spans="1:20" ht="6" customHeight="1">
      <c r="A94" s="45" t="s">
        <v>116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105" t="str">
        <f>"("&amp;ROUND((res+gab+vol)/3,0)+(seuil*2)&amp;")"</f>
        <v>(10)</v>
      </c>
      <c r="O94" s="105"/>
      <c r="P94" s="105"/>
      <c r="Q94" s="106" t="s">
        <v>115</v>
      </c>
      <c r="R94" s="106"/>
      <c r="S94" s="106"/>
      <c r="T94" s="106"/>
    </row>
    <row r="95" spans="1:20" ht="6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105"/>
      <c r="O95" s="105"/>
      <c r="P95" s="105"/>
      <c r="Q95" s="106"/>
      <c r="R95" s="106"/>
      <c r="S95" s="106"/>
      <c r="T95" s="106"/>
    </row>
    <row r="99" spans="1:20" ht="6" customHeight="1">
      <c r="A99" s="45" t="s">
        <v>117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105" t="str">
        <f>"("&amp;ROUND((res+gab+vol)/2,0)+(seuil*2)&amp;")"</f>
        <v>(15)</v>
      </c>
      <c r="O99" s="105"/>
      <c r="P99" s="105"/>
      <c r="Q99" s="106" t="s">
        <v>120</v>
      </c>
      <c r="R99" s="106"/>
      <c r="S99" s="106"/>
      <c r="T99" s="106"/>
    </row>
    <row r="100" spans="1:20" ht="6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105"/>
      <c r="O100" s="105"/>
      <c r="P100" s="105"/>
      <c r="Q100" s="106"/>
      <c r="R100" s="106"/>
      <c r="S100" s="106"/>
      <c r="T100" s="106"/>
    </row>
    <row r="104" spans="1:20" ht="6" customHeight="1">
      <c r="A104" s="45" t="s">
        <v>118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105" t="str">
        <f>"("&amp;ROUND((res+gab+vol),0)+(seuil*2)&amp;")"</f>
        <v>(30)</v>
      </c>
      <c r="O104" s="105"/>
      <c r="P104" s="105"/>
      <c r="Q104" s="106" t="s">
        <v>121</v>
      </c>
      <c r="R104" s="106"/>
      <c r="S104" s="106"/>
      <c r="T104" s="106"/>
    </row>
    <row r="105" spans="1:20" ht="6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105"/>
      <c r="O105" s="105"/>
      <c r="P105" s="105"/>
      <c r="Q105" s="106"/>
      <c r="R105" s="106"/>
      <c r="S105" s="106"/>
      <c r="T105" s="106"/>
    </row>
    <row r="109" spans="5:20" ht="6" customHeight="1">
      <c r="E109" s="104" t="s">
        <v>119</v>
      </c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5" t="str">
        <f>"("&amp;ROUND((res+gab+vol)*1.5,0)+(seuil*2)&amp;")"</f>
        <v>(45)</v>
      </c>
      <c r="S109" s="105"/>
      <c r="T109" s="105"/>
    </row>
    <row r="110" spans="5:20" ht="6" customHeight="1"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5"/>
      <c r="S110" s="105"/>
      <c r="T110" s="105"/>
    </row>
    <row r="112" spans="44:70" ht="6" customHeight="1"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</row>
    <row r="113" spans="44:70" ht="6" customHeight="1"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</row>
  </sheetData>
  <mergeCells count="108">
    <mergeCell ref="W62:AR64"/>
    <mergeCell ref="W53:AR55"/>
    <mergeCell ref="B7:E8"/>
    <mergeCell ref="F7:Q8"/>
    <mergeCell ref="B9:E10"/>
    <mergeCell ref="F9:L10"/>
    <mergeCell ref="AH25:AQ26"/>
    <mergeCell ref="AR25:AU26"/>
    <mergeCell ref="AH27:AQ28"/>
    <mergeCell ref="AR27:AU28"/>
    <mergeCell ref="R109:T110"/>
    <mergeCell ref="Q99:T100"/>
    <mergeCell ref="Q104:T105"/>
    <mergeCell ref="A99:M100"/>
    <mergeCell ref="A104:M105"/>
    <mergeCell ref="E109:Q110"/>
    <mergeCell ref="N99:P100"/>
    <mergeCell ref="N104:P105"/>
    <mergeCell ref="A89:M90"/>
    <mergeCell ref="N89:P90"/>
    <mergeCell ref="Q89:T90"/>
    <mergeCell ref="A94:M95"/>
    <mergeCell ref="N94:P95"/>
    <mergeCell ref="Q94:T95"/>
    <mergeCell ref="BM23:BQ25"/>
    <mergeCell ref="BM26:BQ28"/>
    <mergeCell ref="C79:T80"/>
    <mergeCell ref="B82:P83"/>
    <mergeCell ref="R82:T83"/>
    <mergeCell ref="BH23:BK24"/>
    <mergeCell ref="AX25:BG26"/>
    <mergeCell ref="BH25:BK26"/>
    <mergeCell ref="AX27:BG28"/>
    <mergeCell ref="BH27:BK28"/>
    <mergeCell ref="BE16:BK17"/>
    <mergeCell ref="BL16:BR17"/>
    <mergeCell ref="B25:K26"/>
    <mergeCell ref="B27:K28"/>
    <mergeCell ref="L25:O26"/>
    <mergeCell ref="L27:O28"/>
    <mergeCell ref="R25:AA26"/>
    <mergeCell ref="AB25:AE26"/>
    <mergeCell ref="R27:AA28"/>
    <mergeCell ref="AB27:AE28"/>
    <mergeCell ref="BE14:BK15"/>
    <mergeCell ref="BL14:BR15"/>
    <mergeCell ref="A16:G17"/>
    <mergeCell ref="H16:N17"/>
    <mergeCell ref="O16:U17"/>
    <mergeCell ref="V16:AB17"/>
    <mergeCell ref="AC16:AI17"/>
    <mergeCell ref="AJ16:AP17"/>
    <mergeCell ref="AQ16:AW17"/>
    <mergeCell ref="AX16:BD17"/>
    <mergeCell ref="AC14:AI15"/>
    <mergeCell ref="AJ14:AP15"/>
    <mergeCell ref="AQ14:AW15"/>
    <mergeCell ref="AX14:BD15"/>
    <mergeCell ref="A14:G15"/>
    <mergeCell ref="H14:N15"/>
    <mergeCell ref="O14:U15"/>
    <mergeCell ref="V14:AB15"/>
    <mergeCell ref="A1:Z3"/>
    <mergeCell ref="B5:BQ6"/>
    <mergeCell ref="B20:BR22"/>
    <mergeCell ref="B23:K24"/>
    <mergeCell ref="L23:O24"/>
    <mergeCell ref="R23:AA24"/>
    <mergeCell ref="AB23:AE24"/>
    <mergeCell ref="AH23:AQ24"/>
    <mergeCell ref="AR23:AU24"/>
    <mergeCell ref="AX23:BG24"/>
    <mergeCell ref="AG36:AL38"/>
    <mergeCell ref="AM36:AT38"/>
    <mergeCell ref="F31:AO33"/>
    <mergeCell ref="P34:X35"/>
    <mergeCell ref="B36:N38"/>
    <mergeCell ref="O36:T38"/>
    <mergeCell ref="U36:Z38"/>
    <mergeCell ref="AA36:AF38"/>
    <mergeCell ref="B45:N47"/>
    <mergeCell ref="O39:T41"/>
    <mergeCell ref="O42:T44"/>
    <mergeCell ref="O45:T47"/>
    <mergeCell ref="U42:Z44"/>
    <mergeCell ref="AA42:AF44"/>
    <mergeCell ref="B39:N41"/>
    <mergeCell ref="B42:N44"/>
    <mergeCell ref="U45:Z47"/>
    <mergeCell ref="AA45:AF47"/>
    <mergeCell ref="AG45:AL47"/>
    <mergeCell ref="AM39:AT41"/>
    <mergeCell ref="AM42:AT44"/>
    <mergeCell ref="AM45:AT47"/>
    <mergeCell ref="U39:Z41"/>
    <mergeCell ref="AA39:AF41"/>
    <mergeCell ref="AG39:AL41"/>
    <mergeCell ref="AG42:AL44"/>
    <mergeCell ref="C68:AQ72"/>
    <mergeCell ref="W50:AR52"/>
    <mergeCell ref="B62:T64"/>
    <mergeCell ref="C66:AQ67"/>
    <mergeCell ref="B50:T52"/>
    <mergeCell ref="B53:T55"/>
    <mergeCell ref="B56:T58"/>
    <mergeCell ref="B59:T61"/>
    <mergeCell ref="W56:AR58"/>
    <mergeCell ref="W59:AR61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Tal'ma'hera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main noire</dc:creator>
  <cp:keywords/>
  <dc:description/>
  <cp:lastModifiedBy>VSMS</cp:lastModifiedBy>
  <cp:lastPrinted>2007-02-09T02:49:57Z</cp:lastPrinted>
  <dcterms:created xsi:type="dcterms:W3CDTF">2007-01-31T02:15:31Z</dcterms:created>
  <dcterms:modified xsi:type="dcterms:W3CDTF">2007-03-23T15:13:17Z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</Properties>
</file>